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File01ac01prd\agi\doctype\ARCHITECTURE\_Processus marchés de services\_Processus et doctypes\1 Etapes préalables\"/>
    </mc:Choice>
  </mc:AlternateContent>
  <xr:revisionPtr revIDLastSave="0" documentId="13_ncr:1_{BD43A5C1-1ACA-48EE-88E2-64126C2BE32B}" xr6:coauthVersionLast="47" xr6:coauthVersionMax="47" xr10:uidLastSave="{00000000-0000-0000-0000-000000000000}"/>
  <bookViews>
    <workbookView xWindow="3180" yWindow="1950" windowWidth="23970" windowHeight="11295" tabRatio="883" xr2:uid="{00000000-000D-0000-FFFF-FFFF00000000}"/>
  </bookViews>
  <sheets>
    <sheet name="MODE D'EMPLOI" sheetId="19" r:id="rId1"/>
    <sheet name="Budget global" sheetId="11" r:id="rId2"/>
    <sheet name="Indexation" sheetId="21" r:id="rId3"/>
    <sheet name="Indemité. soumiss." sheetId="10" r:id="rId4"/>
    <sheet name="Oeuvre d'Art" sheetId="18" r:id="rId5"/>
    <sheet name="Honor-Cat 1" sheetId="13" r:id="rId6"/>
    <sheet name="Honor-Cat 2" sheetId="14" r:id="rId7"/>
    <sheet name="Honor-Cat 3" sheetId="15" r:id="rId8"/>
    <sheet name="Honor-Cat 4" sheetId="16" r:id="rId9"/>
    <sheet name="Honor-Cat 5" sheetId="17" r:id="rId10"/>
    <sheet name="SYNTHESE" sheetId="20" r:id="rId11"/>
  </sheets>
  <definedNames>
    <definedName name="Print_Area" localSheetId="1">'Budget global'!$B$8:$I$81</definedName>
    <definedName name="Print_Area" localSheetId="3">'Indemité. soumiss.'!$B$11:$G$36</definedName>
    <definedName name="Print_Area" localSheetId="2">Indexation!#REF!</definedName>
    <definedName name="Print_Area" localSheetId="0">'MODE D''EMPLOI'!$A$3:$B$21</definedName>
    <definedName name="Print_Area" localSheetId="4">'Oeuvre d''Art'!$B$5:$E$25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3" i="11" l="1"/>
  <c r="G34" i="11"/>
  <c r="D1" i="21"/>
  <c r="B1" i="21"/>
  <c r="G57" i="11"/>
  <c r="C57" i="11"/>
  <c r="G54" i="11"/>
  <c r="C54" i="11"/>
  <c r="G55" i="11"/>
  <c r="C55" i="11"/>
  <c r="L74" i="13"/>
  <c r="F27" i="11"/>
  <c r="G27" i="11" s="1"/>
  <c r="F26" i="11"/>
  <c r="F25" i="11"/>
  <c r="G28" i="11"/>
  <c r="G22" i="21" l="1"/>
  <c r="H22" i="21" s="1"/>
  <c r="D12" i="18" l="1"/>
  <c r="B1" i="17" l="1"/>
  <c r="G73" i="11" l="1"/>
  <c r="H73" i="11" s="1"/>
  <c r="G72" i="11"/>
  <c r="H72" i="11" s="1"/>
  <c r="C48" i="11"/>
  <c r="C47" i="11"/>
  <c r="C46" i="11"/>
  <c r="E41" i="11"/>
  <c r="G30" i="11"/>
  <c r="H30" i="11" s="1"/>
  <c r="G25" i="11"/>
  <c r="H25" i="11" s="1"/>
  <c r="G26" i="11"/>
  <c r="H26" i="11" s="1"/>
  <c r="H27" i="11"/>
  <c r="H28" i="11"/>
  <c r="C70" i="11" l="1"/>
  <c r="C69" i="11"/>
  <c r="C68" i="11"/>
  <c r="C66" i="11"/>
  <c r="C64" i="11"/>
  <c r="C62" i="11"/>
  <c r="C61" i="11"/>
  <c r="C58" i="11"/>
  <c r="C56" i="11"/>
  <c r="C53" i="11"/>
  <c r="C51" i="11"/>
  <c r="C50" i="11"/>
  <c r="G62" i="11" l="1"/>
  <c r="G58" i="11" l="1"/>
  <c r="G56" i="11"/>
  <c r="G53" i="11"/>
  <c r="G61" i="11" l="1"/>
  <c r="L1" i="17" l="1"/>
  <c r="L1" i="16"/>
  <c r="B1" i="16"/>
  <c r="L1" i="15"/>
  <c r="B1" i="15"/>
  <c r="L1" i="14"/>
  <c r="B1" i="14"/>
  <c r="L1" i="13" l="1"/>
  <c r="B1" i="18"/>
  <c r="E1" i="18"/>
  <c r="F1" i="10"/>
  <c r="F1" i="20"/>
  <c r="B1" i="13"/>
  <c r="G36" i="11" l="1"/>
  <c r="G70" i="11"/>
  <c r="G42" i="11" s="1"/>
  <c r="G98" i="11" s="1"/>
  <c r="H42" i="11" l="1"/>
  <c r="B1" i="10"/>
  <c r="H76" i="11"/>
  <c r="H78" i="11"/>
  <c r="H77" i="11"/>
  <c r="G50" i="11" l="1"/>
  <c r="G51" i="11"/>
  <c r="G48" i="11"/>
  <c r="G47" i="11"/>
  <c r="G64" i="11" s="1"/>
  <c r="G31" i="11"/>
  <c r="B1" i="20" l="1"/>
  <c r="H64" i="11" l="1"/>
  <c r="G8" i="21"/>
  <c r="G11" i="21" s="1"/>
  <c r="H70" i="11"/>
  <c r="H31" i="11"/>
  <c r="H34" i="11"/>
  <c r="G66" i="11" l="1"/>
  <c r="H11" i="21"/>
  <c r="B22" i="20"/>
  <c r="B19" i="20"/>
  <c r="B16" i="20"/>
  <c r="B13" i="20"/>
  <c r="B10" i="20"/>
  <c r="G68" i="11" l="1"/>
  <c r="F75" i="11" s="1"/>
  <c r="G75" i="11" s="1"/>
  <c r="H75" i="11" s="1"/>
  <c r="H66" i="11"/>
  <c r="C9" i="16" l="1"/>
  <c r="F9" i="16" s="1"/>
  <c r="C9" i="14"/>
  <c r="H68" i="11"/>
  <c r="C9" i="17"/>
  <c r="L10" i="17" s="1"/>
  <c r="D9" i="18"/>
  <c r="D15" i="18" s="1"/>
  <c r="E15" i="18" s="1"/>
  <c r="C9" i="15"/>
  <c r="L10" i="15" s="1"/>
  <c r="G69" i="11"/>
  <c r="G43" i="11" s="1"/>
  <c r="C9" i="13"/>
  <c r="E9" i="13" s="1"/>
  <c r="I9" i="16"/>
  <c r="G9" i="16" l="1"/>
  <c r="L10" i="16"/>
  <c r="E9" i="16"/>
  <c r="D9" i="16"/>
  <c r="H9" i="16"/>
  <c r="K71" i="15"/>
  <c r="K70" i="15"/>
  <c r="J9" i="16"/>
  <c r="L9" i="16" s="1"/>
  <c r="K9" i="16" s="1"/>
  <c r="G33" i="11"/>
  <c r="H33" i="11" s="1"/>
  <c r="G32" i="11" l="1"/>
  <c r="H32" i="11" s="1"/>
  <c r="C12" i="18"/>
  <c r="H9" i="17" l="1"/>
  <c r="D9" i="15"/>
  <c r="D9" i="17" l="1"/>
  <c r="B20" i="16"/>
  <c r="C21" i="16" s="1"/>
  <c r="K68" i="17"/>
  <c r="K69" i="17"/>
  <c r="K70" i="16"/>
  <c r="K68" i="16"/>
  <c r="E9" i="15"/>
  <c r="B20" i="15"/>
  <c r="C21" i="15" s="1"/>
  <c r="K70" i="17"/>
  <c r="I9" i="17"/>
  <c r="F9" i="17"/>
  <c r="K69" i="16"/>
  <c r="G9" i="15"/>
  <c r="I9" i="15"/>
  <c r="K71" i="17"/>
  <c r="E9" i="17"/>
  <c r="F9" i="15"/>
  <c r="K68" i="15"/>
  <c r="H9" i="15"/>
  <c r="B20" i="17"/>
  <c r="C21" i="17" s="1"/>
  <c r="G20" i="17"/>
  <c r="H21" i="17" s="1"/>
  <c r="G20" i="16"/>
  <c r="H21" i="16" s="1"/>
  <c r="G20" i="15"/>
  <c r="H21" i="15" s="1"/>
  <c r="G9" i="17"/>
  <c r="K71" i="16"/>
  <c r="K69" i="15"/>
  <c r="D20" i="15" l="1"/>
  <c r="E20" i="15" s="1"/>
  <c r="D22" i="15" s="1"/>
  <c r="I20" i="16"/>
  <c r="J20" i="16" s="1"/>
  <c r="I20" i="17"/>
  <c r="J20" i="17" s="1"/>
  <c r="I20" i="15"/>
  <c r="J20" i="15" s="1"/>
  <c r="D20" i="17"/>
  <c r="E20" i="17" s="1"/>
  <c r="D22" i="17" s="1"/>
  <c r="D20" i="16"/>
  <c r="E20" i="16" s="1"/>
  <c r="D22" i="16" s="1"/>
  <c r="J9" i="15"/>
  <c r="L9" i="15" s="1"/>
  <c r="J9" i="17"/>
  <c r="L9" i="17" s="1"/>
  <c r="K20" i="15" l="1"/>
  <c r="L20" i="15" s="1"/>
  <c r="K20" i="16"/>
  <c r="L20" i="16" s="1"/>
  <c r="L65" i="16" s="1"/>
  <c r="K9" i="15"/>
  <c r="K20" i="17"/>
  <c r="L20" i="17" s="1"/>
  <c r="I22" i="17"/>
  <c r="I22" i="16"/>
  <c r="I22" i="15"/>
  <c r="L65" i="15"/>
  <c r="K9" i="17"/>
  <c r="L65" i="17" l="1"/>
  <c r="K65" i="16"/>
  <c r="K72" i="16" s="1"/>
  <c r="K65" i="17"/>
  <c r="K72" i="17" s="1"/>
  <c r="L72" i="15"/>
  <c r="L74" i="15" s="1"/>
  <c r="L72" i="16"/>
  <c r="K65" i="15"/>
  <c r="K72" i="15" s="1"/>
  <c r="L74" i="16" l="1"/>
  <c r="L75" i="16" s="1"/>
  <c r="L72" i="17"/>
  <c r="L75" i="15"/>
  <c r="L74" i="17" l="1"/>
  <c r="L75" i="17" s="1"/>
  <c r="O75" i="15"/>
  <c r="O75" i="16"/>
  <c r="O75" i="17" l="1"/>
  <c r="N70" i="17" s="1"/>
  <c r="N11" i="15"/>
  <c r="N71" i="15"/>
  <c r="N70" i="15"/>
  <c r="N69" i="15"/>
  <c r="N68" i="15"/>
  <c r="N10" i="15"/>
  <c r="N20" i="15"/>
  <c r="N9" i="15"/>
  <c r="N65" i="15"/>
  <c r="O20" i="15"/>
  <c r="N71" i="16"/>
  <c r="N70" i="16"/>
  <c r="N69" i="16"/>
  <c r="N68" i="16"/>
  <c r="N11" i="16"/>
  <c r="N9" i="16"/>
  <c r="N10" i="16"/>
  <c r="N20" i="16"/>
  <c r="N65" i="16"/>
  <c r="O20" i="16"/>
  <c r="N69" i="17"/>
  <c r="N68" i="17"/>
  <c r="N11" i="17"/>
  <c r="N71" i="17"/>
  <c r="N9" i="17"/>
  <c r="O20" i="17"/>
  <c r="N65" i="17"/>
  <c r="L10" i="14"/>
  <c r="N20" i="17" l="1"/>
  <c r="N10" i="17"/>
  <c r="D9" i="13"/>
  <c r="B20" i="13"/>
  <c r="G9" i="13"/>
  <c r="K69" i="13"/>
  <c r="H9" i="13"/>
  <c r="G20" i="13"/>
  <c r="H21" i="13" s="1"/>
  <c r="I9" i="13"/>
  <c r="K71" i="13"/>
  <c r="K68" i="13"/>
  <c r="F9" i="13"/>
  <c r="L10" i="13"/>
  <c r="K70" i="13"/>
  <c r="D9" i="14"/>
  <c r="E9" i="14"/>
  <c r="K69" i="14"/>
  <c r="G20" i="14"/>
  <c r="H21" i="14" s="1"/>
  <c r="I20" i="14" s="1"/>
  <c r="J20" i="14" s="1"/>
  <c r="K70" i="14"/>
  <c r="B20" i="14"/>
  <c r="F9" i="14"/>
  <c r="G9" i="14"/>
  <c r="H9" i="14"/>
  <c r="I9" i="14"/>
  <c r="K71" i="14"/>
  <c r="K68" i="14"/>
  <c r="I20" i="13" l="1"/>
  <c r="J20" i="13" s="1"/>
  <c r="I22" i="13" s="1"/>
  <c r="C21" i="14"/>
  <c r="C21" i="13"/>
  <c r="D20" i="13" s="1"/>
  <c r="E20" i="13" s="1"/>
  <c r="D22" i="13" s="1"/>
  <c r="J9" i="13"/>
  <c r="L9" i="13" s="1"/>
  <c r="I22" i="14"/>
  <c r="J9" i="14"/>
  <c r="L9" i="14" s="1"/>
  <c r="D17" i="18"/>
  <c r="E17" i="18" s="1"/>
  <c r="D16" i="18"/>
  <c r="E16" i="18" s="1"/>
  <c r="D18" i="18"/>
  <c r="E18" i="18" s="1"/>
  <c r="D20" i="14" l="1"/>
  <c r="E20" i="14" s="1"/>
  <c r="E19" i="18"/>
  <c r="E20" i="18" s="1"/>
  <c r="K20" i="13"/>
  <c r="L20" i="13" s="1"/>
  <c r="L65" i="13" s="1"/>
  <c r="K9" i="14"/>
  <c r="K9" i="13"/>
  <c r="K20" i="14" l="1"/>
  <c r="L20" i="14" s="1"/>
  <c r="L65" i="14" s="1"/>
  <c r="L72" i="14" s="1"/>
  <c r="D22" i="14"/>
  <c r="F74" i="11"/>
  <c r="G74" i="11" s="1"/>
  <c r="H74" i="11" s="1"/>
  <c r="K65" i="13"/>
  <c r="K72" i="13" s="1"/>
  <c r="L74" i="14" l="1"/>
  <c r="E39" i="11" s="1"/>
  <c r="K65" i="14"/>
  <c r="K72" i="14" s="1"/>
  <c r="H71" i="11"/>
  <c r="B23" i="20" s="1"/>
  <c r="G23" i="20" s="1"/>
  <c r="L75" i="14" l="1"/>
  <c r="G39" i="11" s="1"/>
  <c r="D5" i="10" s="1"/>
  <c r="L75" i="13"/>
  <c r="O75" i="13"/>
  <c r="O75" i="14"/>
  <c r="G41" i="11" l="1"/>
  <c r="H41" i="11" s="1"/>
  <c r="H39" i="11"/>
  <c r="F24" i="11"/>
  <c r="G24" i="11" s="1"/>
  <c r="G23" i="11" s="1"/>
  <c r="G96" i="11"/>
  <c r="G102" i="11" s="1"/>
  <c r="G38" i="11"/>
  <c r="N69" i="14"/>
  <c r="N11" i="14"/>
  <c r="N71" i="14"/>
  <c r="N70" i="14"/>
  <c r="N68" i="14"/>
  <c r="N10" i="14"/>
  <c r="N20" i="14"/>
  <c r="N9" i="14"/>
  <c r="O20" i="14"/>
  <c r="N65" i="14"/>
  <c r="N71" i="13"/>
  <c r="N70" i="13"/>
  <c r="N69" i="13"/>
  <c r="N68" i="13"/>
  <c r="N11" i="13"/>
  <c r="O20" i="13"/>
  <c r="N65" i="13"/>
  <c r="N20" i="13"/>
  <c r="N10" i="13"/>
  <c r="N9" i="13"/>
  <c r="H36" i="11"/>
  <c r="H24" i="11" l="1"/>
  <c r="H23" i="11" s="1"/>
  <c r="G100" i="11"/>
  <c r="G101" i="11"/>
  <c r="H38" i="11"/>
  <c r="G95" i="11"/>
  <c r="B11" i="20"/>
  <c r="D11" i="20" s="1"/>
  <c r="G99" i="11"/>
  <c r="D20" i="10"/>
  <c r="E20" i="10" s="1"/>
  <c r="D18" i="10"/>
  <c r="E18" i="10" s="1"/>
  <c r="D17" i="10"/>
  <c r="E17" i="10" s="1"/>
  <c r="D19" i="10"/>
  <c r="E19" i="10" s="1"/>
  <c r="D21" i="10"/>
  <c r="E21" i="10" s="1"/>
  <c r="E22" i="10" l="1"/>
  <c r="E31" i="10" s="1"/>
  <c r="E33" i="10" l="1"/>
  <c r="G40" i="11" l="1"/>
  <c r="B4" i="10"/>
  <c r="E7" i="10" s="1"/>
  <c r="H40" i="11" l="1"/>
  <c r="H37" i="11" s="1"/>
  <c r="G97" i="11"/>
  <c r="G94" i="11" s="1"/>
  <c r="G35" i="11"/>
  <c r="G37" i="11"/>
  <c r="G29" i="11" l="1"/>
  <c r="G92" i="11"/>
  <c r="H35" i="11"/>
  <c r="H29" i="11" s="1"/>
  <c r="B14" i="20" s="1"/>
  <c r="F14" i="20" s="1"/>
  <c r="H69" i="11" l="1"/>
  <c r="H43" i="11" l="1"/>
  <c r="H80" i="11" s="1"/>
  <c r="B17" i="20"/>
  <c r="B20" i="20" l="1"/>
  <c r="I20" i="20" s="1"/>
  <c r="I17" i="20"/>
  <c r="H17" i="20"/>
  <c r="G17" i="20"/>
  <c r="B26"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Cellule architecture</author>
    <author>Aurélie Lefébure</author>
  </authors>
  <commentList>
    <comment ref="G28" authorId="0" shapeId="0" xr:uid="{00000000-0006-0000-0100-000001000000}">
      <text>
        <r>
          <rPr>
            <b/>
            <sz val="9"/>
            <color indexed="81"/>
            <rFont val="Tahoma"/>
            <family val="2"/>
          </rPr>
          <t>Cellule architecture:</t>
        </r>
        <r>
          <rPr>
            <sz val="9"/>
            <color indexed="81"/>
            <rFont val="Tahoma"/>
            <family val="2"/>
          </rPr>
          <t xml:space="preserve">
Concerne les bâtiments qui doivent </t>
        </r>
        <r>
          <rPr>
            <u/>
            <sz val="9"/>
            <color indexed="81"/>
            <rFont val="Tahoma"/>
            <family val="2"/>
          </rPr>
          <t>absolument</t>
        </r>
        <r>
          <rPr>
            <sz val="9"/>
            <color indexed="81"/>
            <rFont val="Tahoma"/>
            <family val="2"/>
          </rPr>
          <t xml:space="preserve"> être démolis au préalable (et ne peuvent pas être reutilisés ou valorisés dans le cadre du projet architectural). 
Compter 200 euros HTVA/mètre cube de bâtiment. Hors risques évacuation amiante etc.</t>
        </r>
      </text>
    </comment>
    <comment ref="C39" authorId="0" shapeId="0" xr:uid="{00000000-0006-0000-0100-000003000000}">
      <text>
        <r>
          <rPr>
            <b/>
            <sz val="9"/>
            <color indexed="81"/>
            <rFont val="Tahoma"/>
            <family val="2"/>
          </rPr>
          <t>Cellule architecture:</t>
        </r>
        <r>
          <rPr>
            <sz val="9"/>
            <color indexed="81"/>
            <rFont val="Tahoma"/>
            <family val="2"/>
          </rPr>
          <t xml:space="preserve">
La possibilité de facturer une certaine partie des honoraires (par ex 15%) avec un taux de TVA réduit (6%) dans le cadre de la cession des droits d'auteurs peut être envisagée et convenue de commun accord avec le maître de l'ouvrage. Mais dans l'attente d'un accord, 21% sont appliqués au niveau de l'estimation par prudence.</t>
        </r>
      </text>
    </comment>
    <comment ref="E39" authorId="0" shapeId="0" xr:uid="{DA37947E-09E3-4212-80C2-A52B732D40FA}">
      <text>
        <r>
          <rPr>
            <b/>
            <sz val="9"/>
            <color indexed="81"/>
            <rFont val="Tahoma"/>
            <family val="2"/>
          </rPr>
          <t>Cellule architecture:</t>
        </r>
        <r>
          <rPr>
            <sz val="9"/>
            <color indexed="81"/>
            <rFont val="Tahoma"/>
            <family val="2"/>
          </rPr>
          <t xml:space="preserve">
Case à lier ("=") avec celle reprenant, en texte vert, le TAUX FORFAITAIRE arrondi de l'onglet Honor-x (honoraires) complété.</t>
        </r>
      </text>
    </comment>
    <comment ref="G39" authorId="0" shapeId="0" xr:uid="{FB6C106F-02B8-4940-893A-9987A403E899}">
      <text>
        <r>
          <rPr>
            <b/>
            <sz val="9"/>
            <color indexed="81"/>
            <rFont val="Tahoma"/>
            <family val="2"/>
          </rPr>
          <t>Cellule architecture:</t>
        </r>
        <r>
          <rPr>
            <sz val="9"/>
            <color indexed="81"/>
            <rFont val="Tahoma"/>
            <family val="2"/>
          </rPr>
          <t xml:space="preserve">
Case à lier ("=") avec celle reprenant, en texte vert, le MONTANT ESTIME arrondi de l'onglet Honor-x (honoraires) complété.</t>
        </r>
      </text>
    </comment>
    <comment ref="B45" authorId="1" shapeId="0" xr:uid="{00000000-0006-0000-0100-000005000000}">
      <text>
        <r>
          <rPr>
            <b/>
            <sz val="9"/>
            <color indexed="81"/>
            <rFont val="Tahoma"/>
            <charset val="1"/>
          </rPr>
          <t>Cellule architecture :</t>
        </r>
        <r>
          <rPr>
            <sz val="9"/>
            <color indexed="81"/>
            <rFont val="Tahoma"/>
            <charset val="1"/>
          </rPr>
          <t xml:space="preserve">
A vérifier : Le prix HTVA au mètre carré BRUT construit devrait se situer entre (estimations 2024):
1500 euros/m² &gt; rénovation ponctuelle dans bâtiment « de bonne facture » 
2200 euros/m² &gt; construction ou rénovation lourde avec peu de finitions, programme simple, pas de travaux substantiels de stabilité
2600 euros/m² &gt; construction ou rénovation lourde avec finitions moyennes, programme simple, pas de travaux substantiels de stabilité
3000 euros/m² &gt; construction ou rénovation lourde avec finitions complètes et ambitions energetiques horizon 2050
3250 euros/m² &gt; restauration d'un bâtiment classé, équipement culturel, scénographie et/ou gros travaux de stabilité</t>
        </r>
      </text>
    </comment>
    <comment ref="B52" authorId="1" shapeId="0" xr:uid="{9585B079-6A49-4597-A78A-814156A9D80A}">
      <text>
        <r>
          <rPr>
            <b/>
            <sz val="9"/>
            <color indexed="81"/>
            <rFont val="Tahoma"/>
            <charset val="1"/>
          </rPr>
          <t>Cellule architecture :</t>
        </r>
        <r>
          <rPr>
            <sz val="9"/>
            <color indexed="81"/>
            <rFont val="Tahoma"/>
            <charset val="1"/>
          </rPr>
          <t xml:space="preserve">
</t>
        </r>
        <r>
          <rPr>
            <u/>
            <sz val="9"/>
            <color indexed="81"/>
            <rFont val="Tahoma"/>
            <family val="2"/>
          </rPr>
          <t xml:space="preserve">Prix abords: estimations 2025 </t>
        </r>
        <r>
          <rPr>
            <sz val="9"/>
            <color indexed="81"/>
            <rFont val="Tahoma"/>
            <charset val="1"/>
          </rPr>
          <t>Globalement: prix pour des revêtements 'classiques', sans extravagance et sans équipements technique particulier type plaine de jeux, bornes automatiques, etc.</t>
        </r>
      </text>
    </comment>
    <comment ref="B66" authorId="1" shapeId="0" xr:uid="{00000000-0006-0000-0100-000007000000}">
      <text>
        <r>
          <rPr>
            <b/>
            <sz val="9"/>
            <color indexed="81"/>
            <rFont val="Tahoma"/>
            <family val="2"/>
          </rPr>
          <t>Cellule architecture :</t>
        </r>
        <r>
          <rPr>
            <sz val="9"/>
            <color indexed="81"/>
            <rFont val="Tahoma"/>
            <family val="2"/>
          </rPr>
          <t xml:space="preserve">
Attention ! Le mois de l’index de référence pour l’estimation du montant de travaux communiquée devra être au maximum 3 mois antérieur au mois de publication de l'avis de marché/du cahier des charges. Si l’estimation est plus ancienne, il conviendra de l’indexer suivant la formule de calcul reprise au niveau de l'onglet "Indexation"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Cellule architecture</author>
  </authors>
  <commentList>
    <comment ref="L74" authorId="0" shapeId="0" xr:uid="{2C5A87D0-0770-4C78-8B75-CD6C958A4731}">
      <text>
        <r>
          <rPr>
            <b/>
            <sz val="9"/>
            <color indexed="81"/>
            <rFont val="Tahoma"/>
            <charset val="1"/>
          </rPr>
          <t>Cellule architecture:</t>
        </r>
        <r>
          <rPr>
            <sz val="9"/>
            <color indexed="81"/>
            <rFont val="Tahoma"/>
            <charset val="1"/>
          </rPr>
          <t xml:space="preserve">
Formule d'arrondissement arithmétique à 0,5.</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Cellule architecture</author>
  </authors>
  <commentList>
    <comment ref="L74" authorId="0" shapeId="0" xr:uid="{B9918307-EE1D-4D9B-82E8-61140CF5C34C}">
      <text>
        <r>
          <rPr>
            <b/>
            <sz val="9"/>
            <color indexed="81"/>
            <rFont val="Tahoma"/>
            <charset val="1"/>
          </rPr>
          <t>Cellule architecture:</t>
        </r>
        <r>
          <rPr>
            <sz val="9"/>
            <color indexed="81"/>
            <rFont val="Tahoma"/>
            <charset val="1"/>
          </rPr>
          <t xml:space="preserve">
Formule d'arrondissement arithmétique à 0,5.</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Cellule architecture</author>
  </authors>
  <commentList>
    <comment ref="L74" authorId="0" shapeId="0" xr:uid="{00856F15-8760-4F08-A7D5-C0536B16D9ED}">
      <text>
        <r>
          <rPr>
            <b/>
            <sz val="9"/>
            <color indexed="81"/>
            <rFont val="Tahoma"/>
            <charset val="1"/>
          </rPr>
          <t>Cellule architecture:</t>
        </r>
        <r>
          <rPr>
            <sz val="9"/>
            <color indexed="81"/>
            <rFont val="Tahoma"/>
            <charset val="1"/>
          </rPr>
          <t xml:space="preserve">
Formule d'arrondissement arithmétique à 0,5.</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Cellule architecture</author>
  </authors>
  <commentList>
    <comment ref="L74" authorId="0" shapeId="0" xr:uid="{1BC59A60-C682-43F2-8F2D-E003F268A6CE}">
      <text>
        <r>
          <rPr>
            <b/>
            <sz val="9"/>
            <color indexed="81"/>
            <rFont val="Tahoma"/>
            <charset val="1"/>
          </rPr>
          <t>Cellule architecture:</t>
        </r>
        <r>
          <rPr>
            <sz val="9"/>
            <color indexed="81"/>
            <rFont val="Tahoma"/>
            <charset val="1"/>
          </rPr>
          <t xml:space="preserve">
Formule d'arrondissement arithmétique à 0,5.</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guissa01</author>
  </authors>
  <commentList>
    <comment ref="L74" authorId="0" shapeId="0" xr:uid="{00000000-0006-0000-0900-000002000000}">
      <text>
        <r>
          <rPr>
            <b/>
            <sz val="9"/>
            <color indexed="81"/>
            <rFont val="Tahoma"/>
            <family val="2"/>
          </rPr>
          <t>Cellule architecture :</t>
        </r>
        <r>
          <rPr>
            <sz val="9"/>
            <color indexed="81"/>
            <rFont val="Tahoma"/>
            <family val="2"/>
          </rPr>
          <t xml:space="preserve">
formule d'arrondissement arithmétique à 0,5.</t>
        </r>
      </text>
    </comment>
  </commentList>
</comments>
</file>

<file path=xl/sharedStrings.xml><?xml version="1.0" encoding="utf-8"?>
<sst xmlns="http://schemas.openxmlformats.org/spreadsheetml/2006/main" count="621" uniqueCount="309">
  <si>
    <t>Calcul  des honoraires d'architectes</t>
  </si>
  <si>
    <t>Tranche</t>
  </si>
  <si>
    <t>au-delà</t>
  </si>
  <si>
    <t>TOTAL</t>
  </si>
  <si>
    <t>Pourcentage du marché</t>
  </si>
  <si>
    <t>%</t>
  </si>
  <si>
    <t>Si marché de</t>
  </si>
  <si>
    <t>Montant du marché de base</t>
  </si>
  <si>
    <t>Taux en %</t>
  </si>
  <si>
    <t>Montant des honoraires</t>
  </si>
  <si>
    <t>Tranches</t>
  </si>
  <si>
    <t>FABI E - 2</t>
  </si>
  <si>
    <t>Sous-Total</t>
  </si>
  <si>
    <t>signalétique</t>
  </si>
  <si>
    <t>TAUX FORFAITAIRE arrondi à</t>
  </si>
  <si>
    <t xml:space="preserve">MONTANT ESTIME à </t>
  </si>
  <si>
    <t>FABI S - 3</t>
  </si>
  <si>
    <t>Honoraires</t>
  </si>
  <si>
    <t>Calcul honoraires archi selon forfait</t>
  </si>
  <si>
    <t>Calcul honoraires ingénieurs</t>
  </si>
  <si>
    <t>Taux résultant</t>
  </si>
  <si>
    <t>STAB</t>
  </si>
  <si>
    <t>TS</t>
  </si>
  <si>
    <t>PM</t>
  </si>
  <si>
    <t>Base de calcul (Honoraires HTVA) :</t>
  </si>
  <si>
    <t>Calcul de l'indemnité de base</t>
  </si>
  <si>
    <t>tranches d'honoraires</t>
  </si>
  <si>
    <t>taux</t>
  </si>
  <si>
    <t>partiels</t>
  </si>
  <si>
    <t>Indemnité</t>
  </si>
  <si>
    <t>jusqu'à 200.000 €</t>
  </si>
  <si>
    <t>entre 200.000 et 400.000 €</t>
  </si>
  <si>
    <t>entre 400.000 et 600.000 €</t>
  </si>
  <si>
    <t>entre 600.000 et 800.000 €</t>
  </si>
  <si>
    <t>plus que 800.000 €</t>
  </si>
  <si>
    <t>Extras</t>
  </si>
  <si>
    <t>(selon les spécificités du projet)</t>
  </si>
  <si>
    <t>Total</t>
  </si>
  <si>
    <t>Indemnité forfaitaire arrondie à</t>
  </si>
  <si>
    <t>Estimation HTVA</t>
  </si>
  <si>
    <t>Estimation TVAC</t>
  </si>
  <si>
    <t>-</t>
  </si>
  <si>
    <t>Jury d'attribution</t>
  </si>
  <si>
    <t>Nombre d'experts venant de l'étranger (pays limitrophe) =</t>
  </si>
  <si>
    <t>è</t>
  </si>
  <si>
    <t>Les honoraires pour les autres disciplines dépendent du projet :</t>
  </si>
  <si>
    <t>Calcul honoraires selon forfait appliqué par la Cf</t>
  </si>
  <si>
    <t>€</t>
  </si>
  <si>
    <t>Montnat du marché de base</t>
  </si>
  <si>
    <t>FABI S - 2</t>
  </si>
  <si>
    <t>Montat du marché de base</t>
  </si>
  <si>
    <t>Total HTVA</t>
  </si>
  <si>
    <t>plus que 2.500.000 € indexés</t>
  </si>
  <si>
    <t xml:space="preserve">entre 1.250.000 et 2.500.000 € indexés </t>
  </si>
  <si>
    <t>entre 250.000 et 1.250.000 € indexés</t>
  </si>
  <si>
    <t>jusqu'à 250.000 € indexés</t>
  </si>
  <si>
    <t>Œuvre d'art</t>
  </si>
  <si>
    <t>tranches</t>
  </si>
  <si>
    <t>Index</t>
  </si>
  <si>
    <t>Base de calcul (Travaux HTVA) :</t>
  </si>
  <si>
    <t>Seuil</t>
  </si>
  <si>
    <t xml:space="preserve">1. </t>
  </si>
  <si>
    <t>2.</t>
  </si>
  <si>
    <t>MODE D'EMPLOI du classeur Excel "Budget global"</t>
  </si>
  <si>
    <t>Les tableaux dans les onglets "Honor-" permettent d'estimer les honoraires pour une équipe complète d'auteurs de projet.</t>
  </si>
  <si>
    <r>
      <t xml:space="preserve">Choisir la catégorie (onglets </t>
    </r>
    <r>
      <rPr>
        <b/>
        <i/>
        <sz val="10"/>
        <rFont val="Arial"/>
        <family val="2"/>
      </rPr>
      <t xml:space="preserve">Honor-Cat 1 </t>
    </r>
    <r>
      <rPr>
        <b/>
        <sz val="10"/>
        <rFont val="Arial"/>
        <family val="2"/>
      </rPr>
      <t xml:space="preserve">à </t>
    </r>
    <r>
      <rPr>
        <b/>
        <i/>
        <sz val="10"/>
        <rFont val="Arial"/>
        <family val="2"/>
      </rPr>
      <t>5</t>
    </r>
    <r>
      <rPr>
        <b/>
        <sz val="10"/>
        <rFont val="Arial"/>
        <family val="2"/>
      </rPr>
      <t>) en fonction de la complexité du projet:</t>
    </r>
  </si>
  <si>
    <t>En construction neuve on peut prévoir que le coût des ouvrages de stabilité représente enivron 25% du budget total, et que les techniques spéciales 20 à 25% en fonction du projet. Les honoraires pour les autres disciplines, telles que l'acoustique, le design signalétique, la scénographie, le paysagisme, etc., sont encore plus variables et doivent être évalués au cas par cas. Les chiffres ou formules utilisés ici doivent donc être vérifiés et éventuellement modifiés.</t>
  </si>
  <si>
    <t xml:space="preserve">3. </t>
  </si>
  <si>
    <t>La TVA se prend à 6% pour les honoraires et à 21% pour la production</t>
  </si>
  <si>
    <r>
      <t xml:space="preserve">PEB </t>
    </r>
    <r>
      <rPr>
        <sz val="8"/>
        <rFont val="Arial"/>
        <family val="2"/>
      </rPr>
      <t>(le cas échéant)</t>
    </r>
  </si>
  <si>
    <r>
      <t xml:space="preserve">Calcul des honoraires d'ingénieurs en stabilité </t>
    </r>
    <r>
      <rPr>
        <sz val="8"/>
        <rFont val="Arial"/>
        <family val="2"/>
      </rPr>
      <t>(2)</t>
    </r>
  </si>
  <si>
    <r>
      <t>Calcul des honoraires d'ingénieurs en techniques spéciales</t>
    </r>
    <r>
      <rPr>
        <b/>
        <sz val="8"/>
        <rFont val="Arial"/>
        <family val="2"/>
      </rPr>
      <t xml:space="preserve"> </t>
    </r>
    <r>
      <rPr>
        <sz val="8"/>
        <rFont val="Arial"/>
        <family val="2"/>
      </rPr>
      <t>(2)</t>
    </r>
  </si>
  <si>
    <r>
      <t xml:space="preserve">design mobilier </t>
    </r>
    <r>
      <rPr>
        <sz val="8"/>
        <rFont val="Arial"/>
        <family val="2"/>
      </rPr>
      <t xml:space="preserve"> (3)</t>
    </r>
  </si>
  <si>
    <r>
      <t xml:space="preserve">acoustique </t>
    </r>
    <r>
      <rPr>
        <sz val="8"/>
        <rFont val="Arial"/>
        <family val="2"/>
      </rPr>
      <t>(4)</t>
    </r>
  </si>
  <si>
    <t>Equipement technique spécifique (scénographique, …)</t>
  </si>
  <si>
    <t>Sondages (sol, bâtiment à rénover, …): stabilité, pollution</t>
  </si>
  <si>
    <t>Démolitions préalables</t>
  </si>
  <si>
    <t>Montant global de l'opération (TVAC)</t>
  </si>
  <si>
    <t>étapes préalables</t>
  </si>
  <si>
    <t>passation marché de services</t>
  </si>
  <si>
    <t>selection qualitative</t>
  </si>
  <si>
    <t>attribution</t>
  </si>
  <si>
    <t>execution marché de services</t>
  </si>
  <si>
    <t>études</t>
  </si>
  <si>
    <t>suivi de chantier</t>
  </si>
  <si>
    <t>septembre-décembre 2021</t>
  </si>
  <si>
    <t>janvier - octobre 2021</t>
  </si>
  <si>
    <t>janvier 2022 - janvier 2025</t>
  </si>
  <si>
    <t>VILLE_Projet de xxxxxxxxxxxxxxxxxxxxxxxxxxxxxxxxxxxxxx</t>
  </si>
  <si>
    <t>Budget Global - sur base du document-type www.marchesdarchitecture.be du</t>
  </si>
  <si>
    <t xml:space="preserve">Version du </t>
  </si>
  <si>
    <t>exécution travaux</t>
  </si>
  <si>
    <t>assistance passation marché travaux</t>
  </si>
  <si>
    <t>Estimation BUDGET GLOBAL (TVAC) =</t>
  </si>
  <si>
    <t>XX-XX-XXXX</t>
  </si>
  <si>
    <t>Nombre d'experts présents au jury d'attribution =</t>
  </si>
  <si>
    <t>Relevé bâtiments et terrain - géomètre + topo</t>
  </si>
  <si>
    <t>Inventaire amiante</t>
  </si>
  <si>
    <t>&gt; nombre d'experts et de soumissionnaires à adapter à la spécificité du marché</t>
  </si>
  <si>
    <t>Remarques :</t>
  </si>
  <si>
    <t>Maquette de contexte</t>
  </si>
  <si>
    <t>&gt; le cas échéant</t>
  </si>
  <si>
    <t>Expert extérieur invité à la négociation (le cas échéant) =</t>
  </si>
  <si>
    <t>Négociation (le cas échéant)</t>
  </si>
  <si>
    <t>Nouvelle construction (y compris extension, le cas échéant)</t>
  </si>
  <si>
    <t>Rénovation</t>
  </si>
  <si>
    <t>Bâtiment(s) :</t>
  </si>
  <si>
    <t>Equipement(s) :</t>
  </si>
  <si>
    <t>Abords :</t>
  </si>
  <si>
    <t>Taux de TVA *</t>
  </si>
  <si>
    <r>
      <t xml:space="preserve">Fourniture d'équipement </t>
    </r>
    <r>
      <rPr>
        <sz val="10"/>
        <rFont val="Arial"/>
        <family val="2"/>
      </rPr>
      <t>(mobilier non dessiné par l'auteur de projet, bureautique, …)</t>
    </r>
  </si>
  <si>
    <t>Intégration d'œuvre d'art</t>
  </si>
  <si>
    <t>Indice S :</t>
  </si>
  <si>
    <t>Indice I-2021 :</t>
  </si>
  <si>
    <t>XXXXX</t>
  </si>
  <si>
    <t>&gt; lié à l'onglet "Dédommagement"</t>
  </si>
  <si>
    <t>Calcul du montant de l'INTEGRATION d'ŒUVRE d'ART</t>
  </si>
  <si>
    <t>&gt; indiquer 1 dans l'affirmative</t>
  </si>
  <si>
    <t>Négociation, le cas échéant (sur base de la présence d'un expert pour 1/2 journée)</t>
  </si>
  <si>
    <t>Calcul du TAUX d'honoraires de l'auteur.e de projet</t>
  </si>
  <si>
    <t>5.A. Travaux de base :</t>
  </si>
  <si>
    <t>5.B. Option(s) exigée(s) :</t>
  </si>
  <si>
    <t>5.C. MONTANT GLOBAL :</t>
  </si>
  <si>
    <t>CATEGORIE 5 : Rénovation d'un bâtiment classé</t>
  </si>
  <si>
    <r>
      <t xml:space="preserve">Mobilier intégré </t>
    </r>
    <r>
      <rPr>
        <sz val="10"/>
        <rFont val="Arial"/>
        <family val="2"/>
      </rPr>
      <t>(mobilier à dessiner par l'auteur de projet : comptoir, placards, ...)</t>
    </r>
  </si>
  <si>
    <t xml:space="preserve">de 0 à 220.000€ </t>
  </si>
  <si>
    <t>de 220.000 à 750.000 €</t>
  </si>
  <si>
    <t>de 750.000 à 1.900.000 €</t>
  </si>
  <si>
    <t>de 1.900.000 à 7.500.000 €</t>
  </si>
  <si>
    <t>de 7.500.000 à 22.600.000 €</t>
  </si>
  <si>
    <t>BUDGET GLOBAL DE L'OPERATION</t>
  </si>
  <si>
    <t>Données nécessaires au calcul du budget relatif à la passation du marché de services :</t>
  </si>
  <si>
    <t>Nombre de soumissionnaires invités à remettre une offre =</t>
  </si>
  <si>
    <t>Coordination sécurité et santé (études+chantier) *****</t>
  </si>
  <si>
    <t>***** Pour la mission de coordination sécurité et santé (études+chantier), comptes de 0,15 à 0,5% du montant des travaux en fonction de la durée &gt;&gt; comptage prudent = 0,5%</t>
  </si>
  <si>
    <t>Honoraires sur prestation préalable éventuelle (Tranche 0) **</t>
  </si>
  <si>
    <t>Panneaux solaires PV 10KWC (forfait)</t>
  </si>
  <si>
    <t>Imprévus ***</t>
  </si>
  <si>
    <t>5.D. MONTANT GLOBAL des TRAVAUX indexé :</t>
  </si>
  <si>
    <t>5.E. MONTANT GLOBAL des TRAVAUX indexé et arrondi :</t>
  </si>
  <si>
    <t>Forfait maquette</t>
  </si>
  <si>
    <t>Ce forfait est lié à l'échelle du projet et/ou sa complexité (programme innovant et/ou complexe, conditions urbanistiques très spécifiques, etc.) et/ou une compétence particulière devant être développée dans l'offre (scénographie, etc.)</t>
  </si>
  <si>
    <t xml:space="preserve">Forfait A3 complémentaire portant sur la proposition en matière d’Intégration d’œuvre d’art </t>
  </si>
  <si>
    <t>Si une intégration d’œuvre d’art est prévue</t>
  </si>
  <si>
    <t>Le cas échéant, prévoir 500€ par A3 supplémentaire</t>
  </si>
  <si>
    <t>Cette case est liée à l'onglet "Budget global"</t>
  </si>
  <si>
    <r>
      <t>design mobilier</t>
    </r>
    <r>
      <rPr>
        <sz val="8"/>
        <rFont val="Arial"/>
        <family val="2"/>
      </rPr>
      <t xml:space="preserve"> (3)</t>
    </r>
  </si>
  <si>
    <r>
      <t>paysage</t>
    </r>
    <r>
      <rPr>
        <sz val="8"/>
        <rFont val="Arial"/>
        <family val="2"/>
      </rPr>
      <t xml:space="preserve"> (5)</t>
    </r>
  </si>
  <si>
    <t>CATEGORIE 1 : Construction d'ouvrages purement utilitaires  (hangars, entrepôts, etc.)</t>
  </si>
  <si>
    <t>Honoraires effectifs après arrondissement :</t>
  </si>
  <si>
    <t>Facteur d'arrondissement :</t>
  </si>
  <si>
    <r>
      <rPr>
        <sz val="8"/>
        <color theme="1"/>
        <rFont val="Arial"/>
        <family val="2"/>
      </rPr>
      <t>(1)</t>
    </r>
    <r>
      <rPr>
        <sz val="9"/>
        <color theme="1"/>
        <rFont val="Arial"/>
        <family val="2"/>
      </rPr>
      <t xml:space="preserve"> En fonction de la complexité de la situation urbanistique du bien (zone natura 2000, …), de l'impact urbanistique du projet, de la nécessité d'une exécution bilingue du marché ou de la nécessité d'un phasage de la mission ou du chantier (liée à la nécessaire continuité de fonctionnement de l'infrastructure pendant le chantier ou des contraintes imposées par des subventions par exemple), la charge administrative pour l'architecte pourrait être alourdie (étude d'incidences, etc, …). Dans ce cas, un supplément d'honoraires peut être envisagé. </t>
    </r>
    <r>
      <rPr>
        <b/>
        <sz val="9"/>
        <color theme="1"/>
        <rFont val="Arial"/>
        <family val="2"/>
      </rPr>
      <t xml:space="preserve">S'il s'agit d'un bien classé, ne rien ajouter ici et vous reporter à l'onglet "catégorie 5", qui intègre directement dans les honoraires d'architectes le surplus de travail lié au caractère classé du bâtiment. </t>
    </r>
  </si>
  <si>
    <t>CATEGORIE 2 : Construction d'ouvrages de conception simple (crèche, école primaire, bât admin. simple, maison de repos, hall de sport, ...)</t>
  </si>
  <si>
    <r>
      <rPr>
        <u/>
        <sz val="9"/>
        <color theme="1"/>
        <rFont val="Arial"/>
        <family val="2"/>
      </rPr>
      <t>* Rénovation simple (au sens de la PEB) :</t>
    </r>
    <r>
      <rPr>
        <sz val="9"/>
        <color theme="1"/>
        <rFont val="Arial"/>
        <family val="2"/>
      </rPr>
      <t xml:space="preserve"> travaux influençant la performance énergétique à la surface de déperdition thermique n'entrant pas dans les critères du qualificatif rénové lourdement ou assimilé à du neuf.</t>
    </r>
  </si>
  <si>
    <r>
      <rPr>
        <u/>
        <sz val="9"/>
        <color theme="1"/>
        <rFont val="Arial"/>
        <family val="2"/>
      </rPr>
      <t>** Remise en état :</t>
    </r>
    <r>
      <rPr>
        <sz val="9"/>
        <color theme="1"/>
        <rFont val="Arial"/>
        <family val="2"/>
      </rPr>
      <t xml:space="preserve"> Pour tous travaux ne nécessitant pas l'introduction d'un PU et qui n'ont pas d'influence sur la PEB. Par exemple : inspection structurelle/traitement contre humidité, remise en état second oeuvre, remise en état réseau égouttage/impétrants, remise en état partielle des équipements TS, petits travaux d'abords</t>
    </r>
  </si>
  <si>
    <r>
      <rPr>
        <u/>
        <sz val="9"/>
        <color theme="1"/>
        <rFont val="Arial"/>
        <family val="2"/>
      </rPr>
      <t>* Rénovation lourde (au sens de la PEB) :</t>
    </r>
    <r>
      <rPr>
        <sz val="9"/>
        <color theme="1"/>
        <rFont val="Arial"/>
        <family val="2"/>
      </rPr>
      <t xml:space="preserve"> travaux influençant la performance énergétique à au moins 50% de la surface de déperdition thermique ET avec le placement et/ou le remplacement de toutes ses installations techniques PEB. Par travaux à la surface de déperdition thermique on entend tous travaux de construction et/ou de démolition-reconstruction et/ou de rénovation</t>
    </r>
  </si>
  <si>
    <r>
      <rPr>
        <u/>
        <sz val="9"/>
        <color theme="1"/>
        <rFont val="Arial"/>
        <family val="2"/>
      </rPr>
      <t>** Rénovation assimilée à du neuf (au sens de la PEB) :</t>
    </r>
    <r>
      <rPr>
        <sz val="9"/>
        <color theme="1"/>
        <rFont val="Arial"/>
        <family val="2"/>
      </rPr>
      <t xml:space="preserve"> travaux de construction et/ou de démolition-reconstruction influençant la performance énergétique à au moins 75% de la surface de déperdition thermique ET avec le placement et/ou le remplacement de toutes ses installations techniques PEB. Par exemple : construction d'une nouvelle annexe et/ou travaux nécessitant une démolition préalable (remplacement d'une façade, remplacement des châssis).</t>
    </r>
  </si>
  <si>
    <r>
      <rPr>
        <sz val="8"/>
        <color theme="1"/>
        <rFont val="Arial"/>
        <family val="2"/>
      </rPr>
      <t>(1)</t>
    </r>
    <r>
      <rPr>
        <sz val="9"/>
        <color theme="1"/>
        <rFont val="Arial"/>
        <family val="2"/>
      </rPr>
      <t xml:space="preserve"> En fonction de la complexité de la situation urbanistique du bien (zone natura 2000, …), de l'impact urbanistique du projet, de la nécessité d'une exécution bilingue du marché ou de la nécessité d'un phasage de la mission ou du chantier (liée à la nécessaire continuité de fonctionnement de l'infrastructure pendant le chantier ou des contraintes imposées par des subventions par exemple), la charge administrative pour l'architecte pourrait être alourdie (étude d'incidences, etc, …). Dans ce cas, un supplément d'honoraires peut être envisagé.</t>
    </r>
  </si>
  <si>
    <r>
      <t xml:space="preserve">Location de bâtiments temporaires </t>
    </r>
    <r>
      <rPr>
        <sz val="10"/>
        <color rgb="FF0070C0"/>
        <rFont val="Arial"/>
        <family val="2"/>
      </rPr>
      <t>sur 1 an</t>
    </r>
    <r>
      <rPr>
        <sz val="10"/>
        <rFont val="Arial"/>
        <family val="2"/>
      </rPr>
      <t xml:space="preserve"> (le cas échéant) ****</t>
    </r>
  </si>
  <si>
    <t>Honoraires sur imprévus ***</t>
  </si>
  <si>
    <t>Honoraires sur installation de bâtiments temporaires (le cas échéant) ****</t>
  </si>
  <si>
    <t>Sondages complémentaires : stabilité, pollution</t>
  </si>
  <si>
    <r>
      <t>Avant de procéder au calcul des honoraires à l'aide des tableaux suivants,</t>
    </r>
    <r>
      <rPr>
        <b/>
        <sz val="10"/>
        <rFont val="Arial"/>
        <family val="2"/>
      </rPr>
      <t xml:space="preserve"> il faut avoir estimé le coût des travaux (budget global)</t>
    </r>
    <r>
      <rPr>
        <sz val="10"/>
        <rFont val="Arial"/>
        <family val="2"/>
      </rPr>
      <t xml:space="preserve">. </t>
    </r>
  </si>
  <si>
    <t>Les honoraires des architectes sont calculés automatiquement (montant et pourcentage): Cela donne lieu à une rémunération des architectes allant d'un taux dégressif de 7% (Cat. 1) à un taux de 15% (Cat 5).</t>
  </si>
  <si>
    <t>Il faut également avoir identifié toutes les compétences nécessaires pour le projet et la nature des travaux.</t>
  </si>
  <si>
    <r>
      <t xml:space="preserve">Suivre les instructions suivantes relatives </t>
    </r>
    <r>
      <rPr>
        <b/>
        <sz val="12"/>
        <color theme="1"/>
        <rFont val="Arial"/>
        <family val="2"/>
      </rPr>
      <t>aux onglets Honor-</t>
    </r>
    <r>
      <rPr>
        <sz val="12"/>
        <color theme="1"/>
        <rFont val="Arial"/>
        <family val="2"/>
      </rPr>
      <t xml:space="preserve"> : </t>
    </r>
  </si>
  <si>
    <t>Honoraires sur prestation préalable éventuelle (Tranche 0)</t>
  </si>
  <si>
    <t>Honoraires sur installation de bâtiments temporaires (le cas échéant)</t>
  </si>
  <si>
    <t>1/ DONNEES PREALABLES</t>
  </si>
  <si>
    <t xml:space="preserve">2/ BUDGET GLOBAL </t>
  </si>
  <si>
    <t>Honoraires sur mission classique auteur de projet (Tranches 1, 2 et 3)</t>
  </si>
  <si>
    <t>Honoraires de base de l'auteur de projet (hors imprévus) :</t>
  </si>
  <si>
    <t>Valeur globale du marché (HORS TVA) :</t>
  </si>
  <si>
    <t>Evolutions évenutelles des honoraires de l'auteur de projet :</t>
  </si>
  <si>
    <t>Démolitions ponctuelles nécessaires</t>
  </si>
  <si>
    <t>Cabine haute tension</t>
  </si>
  <si>
    <t>Budget IOA arrondi à</t>
  </si>
  <si>
    <t>&gt; Case liée au montant d'honoraires sur la mission classique, Onglet "Budget global" &gt; 5E</t>
  </si>
  <si>
    <t>&gt; négociation à prévoir par sécurité mais ne sera peut-être pas nécessaire</t>
  </si>
  <si>
    <t>Unité</t>
  </si>
  <si>
    <t>Quantité</t>
  </si>
  <si>
    <t>Prix unitaire</t>
  </si>
  <si>
    <t>fft</t>
  </si>
  <si>
    <t>m3</t>
  </si>
  <si>
    <t>% travaux</t>
  </si>
  <si>
    <t>m2</t>
  </si>
  <si>
    <t>pce</t>
  </si>
  <si>
    <t>% mission</t>
  </si>
  <si>
    <r>
      <t xml:space="preserve">*** Imprévus </t>
    </r>
    <r>
      <rPr>
        <u/>
        <sz val="9"/>
        <color theme="1"/>
        <rFont val="Arial"/>
        <family val="2"/>
      </rPr>
      <t>chantier</t>
    </r>
    <r>
      <rPr>
        <sz val="9"/>
        <color theme="1"/>
        <rFont val="Arial"/>
        <family val="2"/>
      </rPr>
      <t xml:space="preserve"> compter 2% min. (construction neuve avec Etude de faisabilité -EDF- préalable) ; 5% (rénovation légère avec EDF ou construction neuve sans EDF) ;  7,5%: (rénovation lourde avec EDF ou légère sans EDF); 10%: (rénovation lourde sans EDF). Les honoraires sur les imprévus sont calculés sur base du même taux que celui défini pour l'ensemble des travaux.</t>
    </r>
  </si>
  <si>
    <t>**** L'estimation du coût de location de bâtiments temporaires (15€/m²/mois soit 180€/m²/an) sera idéalement prévue dès l'initiale dans le budget, mais uniquement si les conditions suivantes sont réunies:
- il s'agit d'une rénovation/démolition d'un bâtiment en activité;
- la continuité de l'activité existante doit être complètement assurée durant le chantier (pas d'arrêt temporaire ou de diminution possible) et que le maître d'ouvrage ne dispose pas de bâtiments libres à proximité pour pouvoir héberger temporairement toute l'activité;
- les conditions ne permettent raisonablement pas aux auteurs de projet d'envisager une "opération tiroir" : bâtiment unique sur terrain exigu ou contraint, ...
Les honoraires pour l'installation de ces bâtiments temporaires (devant faire l’objet d’un permis, de travaux préparatoires surs les fondations, impétrants, etc.) peuvent être calculés sur base d'un taux de 9%.</t>
  </si>
  <si>
    <t>Indice s :</t>
  </si>
  <si>
    <t>Indice i-2021 :</t>
  </si>
  <si>
    <t>Révision :</t>
  </si>
  <si>
    <t>P0 (estimation initiale) :</t>
  </si>
  <si>
    <t>P1 (estimation indexée) :</t>
  </si>
  <si>
    <r>
      <rPr>
        <b/>
        <sz val="10"/>
        <color theme="1"/>
        <rFont val="Arial"/>
        <family val="2"/>
      </rPr>
      <t>Période P0</t>
    </r>
    <r>
      <rPr>
        <sz val="10"/>
        <color theme="1"/>
        <rFont val="Arial"/>
        <family val="2"/>
      </rPr>
      <t xml:space="preserve"> (mois et indice) :</t>
    </r>
  </si>
  <si>
    <r>
      <rPr>
        <b/>
        <sz val="10"/>
        <color theme="1"/>
        <rFont val="Arial"/>
        <family val="2"/>
      </rPr>
      <t xml:space="preserve">Période P1 </t>
    </r>
    <r>
      <rPr>
        <sz val="10"/>
        <color theme="1"/>
        <rFont val="Arial"/>
        <family val="2"/>
      </rPr>
      <t>(mois et indice) :</t>
    </r>
  </si>
  <si>
    <t>&gt; lié à l'onglet "Œuvre d'Art"</t>
  </si>
  <si>
    <t>Minimum pour une offre de type pré-esquisse (hors maquette)</t>
  </si>
  <si>
    <t>Si une option est exigée par le MO et qu'elle modifie significativement l'ampleur du projet</t>
  </si>
  <si>
    <r>
      <t xml:space="preserve">Forfait A3 complémentaire option exigée portant sur </t>
    </r>
    <r>
      <rPr>
        <sz val="10"/>
        <color rgb="FFFF00FF"/>
        <rFont val="Arial"/>
        <family val="2"/>
      </rPr>
      <t>XXXXX</t>
    </r>
  </si>
  <si>
    <r>
      <rPr>
        <sz val="10"/>
        <color theme="1"/>
        <rFont val="Arial"/>
        <family val="2"/>
      </rPr>
      <t xml:space="preserve">Forfait A3 complémentaire portant sur </t>
    </r>
    <r>
      <rPr>
        <sz val="10"/>
        <color rgb="FFFF00FF"/>
        <rFont val="Arial"/>
        <family val="2"/>
      </rPr>
      <t>XXXXX</t>
    </r>
  </si>
  <si>
    <t>La maquette est demandée a priori pour une offre de type "pré-esquisse" SAUF si le projet ne concerne que de l’aménagement intérieur et/ou des opérations qui n’engendrent pas de reconfiguration spatiale à l’échelle du site (comme p.ex. restructuration de l’accès/des abords, modification de la volumétrie, etc.).</t>
  </si>
  <si>
    <r>
      <t xml:space="preserve">surcroît administratif </t>
    </r>
    <r>
      <rPr>
        <sz val="8"/>
        <color rgb="FFFF00FF"/>
        <rFont val="Arial"/>
        <family val="2"/>
      </rPr>
      <t>(1)</t>
    </r>
  </si>
  <si>
    <r>
      <t xml:space="preserve">phasage mission/chantier </t>
    </r>
    <r>
      <rPr>
        <sz val="8"/>
        <color rgb="FFFF00FF"/>
        <rFont val="Arial"/>
        <family val="2"/>
      </rPr>
      <t>(1)</t>
    </r>
  </si>
  <si>
    <r>
      <t>autre discipline?</t>
    </r>
    <r>
      <rPr>
        <sz val="8"/>
        <color rgb="FFFF00FF"/>
        <rFont val="Arial"/>
        <family val="2"/>
      </rPr>
      <t xml:space="preserve"> (6)</t>
    </r>
  </si>
  <si>
    <r>
      <t>(6)</t>
    </r>
    <r>
      <rPr>
        <sz val="9"/>
        <color theme="1"/>
        <rFont val="Arial"/>
        <family val="2"/>
      </rPr>
      <t xml:space="preserve"> Parmi les autres disciplines, la compétence d'un(e) scénographe peut s'avérer nécessaire (projet de musée ou de théâtre par exemple), pour laquelle on peut compter jusqu'à 1,5% du montant des travaux. On peut également ajouter une mission BIM (si le maître d'ouvrage le demande expressément ou si il a des ambitions poussées en matière de circularité du bâtiment, à laquelle le BIM peut contribuer), pour laquelle on peut compter 1% du montant des travaux. </t>
    </r>
  </si>
  <si>
    <t>SYNTHESE (montants TVAC)</t>
  </si>
  <si>
    <r>
      <t>Compléter/adapter les informations (</t>
    </r>
    <r>
      <rPr>
        <sz val="12"/>
        <color rgb="FFFF00FF"/>
        <rFont val="Arial"/>
        <family val="2"/>
      </rPr>
      <t>texte en rose</t>
    </r>
    <r>
      <rPr>
        <sz val="12"/>
        <color theme="1"/>
        <rFont val="Arial"/>
        <family val="2"/>
      </rPr>
      <t xml:space="preserve">) dans </t>
    </r>
    <r>
      <rPr>
        <b/>
        <sz val="12"/>
        <color theme="1"/>
        <rFont val="Arial"/>
        <family val="2"/>
      </rPr>
      <t>l'onglet Budget global</t>
    </r>
    <r>
      <rPr>
        <sz val="12"/>
        <color theme="1"/>
        <rFont val="Arial"/>
        <family val="2"/>
      </rPr>
      <t xml:space="preserve"> :</t>
    </r>
  </si>
  <si>
    <r>
      <t>Finaliser ensuite l'</t>
    </r>
    <r>
      <rPr>
        <b/>
        <sz val="12"/>
        <color theme="1"/>
        <rFont val="Arial"/>
        <family val="2"/>
      </rPr>
      <t xml:space="preserve">onglet </t>
    </r>
    <r>
      <rPr>
        <b/>
        <i/>
        <sz val="12"/>
        <color theme="1"/>
        <rFont val="Arial"/>
        <family val="2"/>
      </rPr>
      <t>Dédommagement</t>
    </r>
    <r>
      <rPr>
        <b/>
        <sz val="12"/>
        <color theme="1"/>
        <rFont val="Arial"/>
        <family val="2"/>
      </rPr>
      <t xml:space="preserve"> </t>
    </r>
    <r>
      <rPr>
        <sz val="12"/>
        <color theme="1"/>
        <rFont val="Arial"/>
        <family val="2"/>
      </rPr>
      <t>pour que le Budget global soit complet</t>
    </r>
  </si>
  <si>
    <r>
      <t xml:space="preserve">Supprimer les onglets </t>
    </r>
    <r>
      <rPr>
        <b/>
        <i/>
        <sz val="10"/>
        <color theme="1"/>
        <rFont val="Arial"/>
        <family val="2"/>
      </rPr>
      <t>Honor-</t>
    </r>
    <r>
      <rPr>
        <b/>
        <sz val="10"/>
        <color theme="1"/>
        <rFont val="Arial"/>
        <family val="2"/>
      </rPr>
      <t xml:space="preserve"> non relevants pour n'en garder qu'un </t>
    </r>
    <r>
      <rPr>
        <sz val="10"/>
        <color theme="1"/>
        <rFont val="Arial"/>
        <family val="2"/>
      </rPr>
      <t>(si le projet mixe 2 types d'intervention, contacter la cellule architecture pour savoir comment appliquer)</t>
    </r>
  </si>
  <si>
    <t>- Cat. 1: construction d'ouvrages purement utilitaires (hangars, entrepôts, etc.)
- Cat. 2: construction d'ouvrages de conception simple (par exemple bâtiments scolaires, crèche, maison de repos, hall de sport, ...)
- Cat. 3: construction d'ouvrage au programme complexe (bâtiments admin, culturels, judiciaires, écoles secondaires et supérieures, hopitaux, etc.) OU rénovation simple au sens de la PEB OU remise en état
- Cat. 4: construction de bâtiments de caractère OU réaffectation complexe OU rénovation lourde et rénovation assimillée à du neufau sens de la PEB
- Cat. 5: rénovation d'un bâtiment classé</t>
  </si>
  <si>
    <t>élément à prévoir :</t>
  </si>
  <si>
    <t>% nécessaire :</t>
  </si>
  <si>
    <t>Honoraires sur mission classique auteur.e de projet (Tranches 1, 2 et 3) - y compris dédommagement de l'offre</t>
  </si>
  <si>
    <t>Estimation des prestations complémentaires et des frais spéciaux éventuels *</t>
  </si>
  <si>
    <t>* prévoir d'office 10% des honoraires de la mission classique d'auteur de projet (Tranches 1, 2 et 3)</t>
  </si>
  <si>
    <t>Honoraires sur clause de réexamen liée à une disponibilité budgétaire complémentaire **</t>
  </si>
  <si>
    <t>Comité de sélection</t>
  </si>
  <si>
    <r>
      <t>Le projet porte sur un bâtiment de la FWB</t>
    </r>
    <r>
      <rPr>
        <sz val="10"/>
        <color rgb="FFFF0000"/>
        <rFont val="Arial"/>
        <family val="2"/>
      </rPr>
      <t xml:space="preserve"> </t>
    </r>
    <r>
      <rPr>
        <sz val="10"/>
        <rFont val="Arial"/>
        <family val="2"/>
      </rPr>
      <t>ou bénéficie d'une subvention"travaux" auprès de la FWB</t>
    </r>
  </si>
  <si>
    <t>2.1. Etudes/travaux préparatoires</t>
  </si>
  <si>
    <t>2.2. Passation du marché d'auteur de projet</t>
  </si>
  <si>
    <t>2.3. Honoraires de l'auteur de projet</t>
  </si>
  <si>
    <t>2.4. Travaux *</t>
  </si>
  <si>
    <t>2.5. Divers</t>
  </si>
  <si>
    <t>Nombre d'experts présents au comité de sélection =</t>
  </si>
  <si>
    <t>Expert extérieur à qui est confié la présidence (comité de sélection)</t>
  </si>
  <si>
    <t>Expert extérieur à qui est confié la présidence (jury d'attribution)</t>
  </si>
  <si>
    <t>Défraiement experts extérieurs (comité de sélection)</t>
  </si>
  <si>
    <t>Défraiement experts extérieurs (jury d'attribution)</t>
  </si>
  <si>
    <t>Transport (+nuit hotel le cas échéant) experts extérieurs (comité de sélection)</t>
  </si>
  <si>
    <t>Transport (+nuit hotel le cas échéant) experts extérieurs (jury d'attribution)</t>
  </si>
  <si>
    <t>&gt; si PNSPP (ou toute autre procédure en un temps) SANS Appel à Manifestation d'intérêt préalable : indiquer 0</t>
  </si>
  <si>
    <t>&gt; supprimer la ligne si PNSPP (ou toute autre procédure en un temps) SANS Appel à Manifestation d'intérêt préalable</t>
  </si>
  <si>
    <t>&gt; tout ce qui est défraiement, dédommagements, etc. n'est pas soumis à la TVA</t>
  </si>
  <si>
    <t>&gt; lié à la case "Imprévus" ci-dessous</t>
  </si>
  <si>
    <t>INDEXATION DE L'ESTIMATION DES TRAVAUX</t>
  </si>
  <si>
    <t>&gt; montant lié à la case 5.C. de l'onglet "Budget global"</t>
  </si>
  <si>
    <t>XX-XXXX</t>
  </si>
  <si>
    <t>&gt; après calcul, montant qui va être lié à la case 5.D. de l'onglet "Budget global"</t>
  </si>
  <si>
    <t>EXEMPLE :</t>
  </si>
  <si>
    <t>Si l'estimation NE DOIT PAS être indexée, indiquez " 1 "</t>
  </si>
  <si>
    <r>
      <rPr>
        <b/>
        <sz val="10"/>
        <color theme="0" tint="-0.499984740745262"/>
        <rFont val="Arial"/>
        <family val="2"/>
      </rPr>
      <t>Période P0</t>
    </r>
    <r>
      <rPr>
        <sz val="10"/>
        <color theme="0" tint="-0.499984740745262"/>
        <rFont val="Arial"/>
        <family val="2"/>
      </rPr>
      <t xml:space="preserve"> (mois et indice) :</t>
    </r>
  </si>
  <si>
    <r>
      <rPr>
        <b/>
        <sz val="10"/>
        <color theme="0" tint="-0.499984740745262"/>
        <rFont val="Arial"/>
        <family val="2"/>
      </rPr>
      <t xml:space="preserve">Période P1 </t>
    </r>
    <r>
      <rPr>
        <sz val="10"/>
        <color theme="0" tint="-0.499984740745262"/>
        <rFont val="Arial"/>
        <family val="2"/>
      </rPr>
      <t>(mois et indice) :</t>
    </r>
  </si>
  <si>
    <t>&gt; lié à l'onglet "Indexation" - liaison à laisser même si l'indexation n'est pas nécessaire - voir commentaire onglet "Indexation"</t>
  </si>
  <si>
    <t>&gt; lié au montant repris en 5D ci-dessus.</t>
  </si>
  <si>
    <r>
      <t xml:space="preserve">3/ VERIFICATION DE LA VALEUR GLOBALE DU MARCHE </t>
    </r>
    <r>
      <rPr>
        <sz val="10"/>
        <color theme="1"/>
        <rFont val="Arial"/>
        <family val="2"/>
      </rPr>
      <t>(art. 7 de l'AR du 18/04/2017)</t>
    </r>
  </si>
  <si>
    <t>&lt; vérifier que l'index est bien à jour</t>
  </si>
  <si>
    <r>
      <t xml:space="preserve">Intégration d'Œuvre d'Art-Montant de base (1%) </t>
    </r>
    <r>
      <rPr>
        <b/>
        <sz val="10"/>
        <color theme="1"/>
        <rFont val="Arial"/>
        <family val="2"/>
      </rPr>
      <t>*</t>
    </r>
    <r>
      <rPr>
        <b/>
        <sz val="10"/>
        <color rgb="FFFF0000"/>
        <rFont val="Arial"/>
        <family val="2"/>
      </rPr>
      <t xml:space="preserve"> </t>
    </r>
    <r>
      <rPr>
        <b/>
        <sz val="10"/>
        <color theme="1"/>
        <rFont val="Arial"/>
        <family val="2"/>
      </rPr>
      <t>suivant le Décret du 10 mai 1984 - article 4</t>
    </r>
  </si>
  <si>
    <t>CATEGORIE 3 : Construction d'ouvrage au programme complexe (bâtiments admin, culturels, judiciaires, écoles secondaires et supérieures, etc.)
OU Rénovation simple au sens de la PEB * OU Remise en état **</t>
  </si>
  <si>
    <t>CATEGORIE 4 : Construction de bâtiments de caractère OU au programme très complexe (hôpitaux, etc.) 
OU Réaffectation complexe OU Rénovation lourde* et Rénovation assimillée à du neuf** au sens de la PEB</t>
  </si>
  <si>
    <t>Attention ! Le mois de l’index de référence pour l’estimation du montant de travaux communiquée devra être au maximum 3 mois antérieur au mois de publication de l'avis de marché/du cahier des charges. Si l’estimation est plus ancienne, il conviendra de l’indexer suivant la formule de calcul reprise ci-dessous. Cette formule tient compte des fluctuations des taux des salaires du personnel ouvrier occupé sur les chantiers et des charges sociales et assurances y afférentes, ainsi que des fluctuations du prix des matériaux, matières et produits utilisés ou mis en œuvre dans l’ouvrage.</t>
  </si>
  <si>
    <t>indice "s"</t>
  </si>
  <si>
    <t>indice "i+"</t>
  </si>
  <si>
    <t>L'index est lié aux valeurs des indices "i+" (indice des matériaux variant mensuellement) et "s" (variant trimestriellement - "valeurs de S") permettant la révision du montant des marchés; si vous désirez obtenir l'index correspondant à un autre mois/année, vous pouvez entrer ci à côté ces valeurs. Pour toute question, ou pour l'entrée de données antérieures au 01.01.2002, n'hésitez pas à contacter la cellule architecture.</t>
  </si>
  <si>
    <t>Insérer dans cette colonne les dates concernées</t>
  </si>
  <si>
    <t>Insérer dans cette colonne les indices concernés (voir exemple ci-dessous).</t>
  </si>
  <si>
    <t>&gt; si programmation complexe ou si possibilités multiples d'implantation dans le contexte indiquer 4, si les 2 conditions sont réunies, indiquer 5</t>
  </si>
  <si>
    <t>&gt; il s'agit d'une estimation liée aux honoraires de l'auteur de projet (5%)</t>
  </si>
  <si>
    <t>! Veillez à bien adapter les quantités et prix unitaires en fonction de votre projet</t>
  </si>
  <si>
    <t>&gt; à activer en cas de besoin et a priori si il n'y a pas déjà eu d'étude préablable repris en 2.1.</t>
  </si>
  <si>
    <r>
      <t>Etude préalable de définition (id. risques, coord audits, besoins, programmation, budgétisation, scenarii)</t>
    </r>
    <r>
      <rPr>
        <sz val="10"/>
        <color rgb="FF00B0F0"/>
        <rFont val="Arial"/>
        <family val="2"/>
      </rPr>
      <t xml:space="preserve"> **</t>
    </r>
  </si>
  <si>
    <t>&gt; lié à la case "Montant global travaux arrondi" ci-dessus</t>
  </si>
  <si>
    <t>Pour des honoraires supérieurs à 143.000€ HTVA</t>
  </si>
  <si>
    <t>Pour des honoraires inférieurs à 143.000€ HTVA</t>
  </si>
  <si>
    <t xml:space="preserve">(6) Parmi les autres disciplines, on peut par exemple ajouter une mission BIM (si le maître d'ouvrage le demande expressément ou si il a des ambitions poussées en matière de circularité du bâtiment, à laquelle le BIM peut contribuer), pour laquelle on peut compter 1% du montant des travaux. </t>
  </si>
  <si>
    <r>
      <t xml:space="preserve">Préambule : </t>
    </r>
    <r>
      <rPr>
        <sz val="10"/>
        <color theme="1"/>
        <rFont val="Arial"/>
        <family val="2"/>
      </rPr>
      <t xml:space="preserve">les onglets Indexation, Dédommagement, Intégration Œuvre d'Art (IOA) et Honoraires sont utilisabes séparément. Dans ce cas, outre compléter/adapter les chiffres et/ou parties de texte écrites </t>
    </r>
    <r>
      <rPr>
        <u/>
        <sz val="10"/>
        <color rgb="FFFF00FF"/>
        <rFont val="Arial"/>
        <family val="2"/>
      </rPr>
      <t>en rose</t>
    </r>
    <r>
      <rPr>
        <sz val="10"/>
        <color theme="1"/>
        <rFont val="Arial"/>
        <family val="2"/>
      </rPr>
      <t>, il faut également remplir manuellement les chiffres dans les cellules de fond orange clair (=Montant global des travaux indexé et arrondi) et/ou les cellules de fond vert clair (=Montant des Honoraires sur mission classique auteur de projet).</t>
    </r>
  </si>
  <si>
    <r>
      <t xml:space="preserve">*certaines valeurs sont déjà indiquées à titre d'exemple: il s'agit donc d'être attentif à les ajuster au besoin
a. compléter le titre du projet et la date de la version du fichier en en-tête 
b. entrer les "Données préalables" et les "Données nécessaires au calcul du budget relatif à la passation du marché de services" suivant le type de procédure choisi et les conseils repris en commentaire
c. entrer les coûts des opérations préalables éventuelles dans la section 2.1
d. détailler par grand postes l'estimation des travaux : indiquer les surfaces et les coûts/m² appliqués en fonction de la nature des travaux (nouvelle construction, équipements, abords, etc.)
e. ajuster au besoin la TVA qui sera appliquée sur les travaux (voir commentaire d'aide)
f. </t>
    </r>
    <r>
      <rPr>
        <b/>
        <sz val="10"/>
        <color theme="1"/>
        <rFont val="Arial"/>
        <family val="2"/>
      </rPr>
      <t>ATTENTION</t>
    </r>
    <r>
      <rPr>
        <sz val="10"/>
        <color theme="1"/>
        <rFont val="Arial"/>
        <family val="2"/>
      </rPr>
      <t xml:space="preserve"> : si votre estimation date de plus de 3 mois, indexer le montant des travaux grâce à la formule de calcul reprise dans l'onglet "Indexation"
g. en fonction de la nature du projet et de sa préparation (voir commentaire d'aide), indiquer un pourcentage d'imprévus à prendre en compte (imprévus pouvant survenir pendant les études et/ou le chantier)
h. le cas échéant, ajouter un montant pour la location de bâtiments temporaires (voir commentaire d'aide)
i. indiquer un montant pour les sondages complémentaires qui devront être réalisés pendant le chantier
j. indiquer un pourcentage à appliquer sur le montant des travaux pour la mission du coordinateur sécurité-santé (voir commentaire d'aide)
k. indiquer un titre et un montant pour tout frais complémentaire qui pourrait survenir 
l. vérifier la valeur globale du marché (voir sous-tableau 3 et commentaire d'aide)</t>
    </r>
  </si>
  <si>
    <r>
      <t xml:space="preserve">Tous les honoraires sont dès lors définis. Une fois que vous avez obtenu le taux global arrondi et le montant des honoraires (en texte vert), importez ces informations au niveau de l'onglet "Budget global" en </t>
    </r>
    <r>
      <rPr>
        <b/>
        <u/>
        <sz val="10"/>
        <color theme="1"/>
        <rFont val="Arial"/>
        <family val="2"/>
      </rPr>
      <t>liant</t>
    </r>
    <r>
      <rPr>
        <b/>
        <sz val="10"/>
        <color theme="1"/>
        <rFont val="Arial"/>
        <family val="2"/>
      </rPr>
      <t xml:space="preserve"> (pour conserver un lien dynamique) les cases avec remplissage vert au taux et montant obtenus. </t>
    </r>
  </si>
  <si>
    <t>&gt; sera activé uniquement si justifié par localisation/enjeux du projet ou encore la spécifiocité d'une compétence à évaluer</t>
  </si>
  <si>
    <t>!!! Veillez à remettre la quantité à zéro si vous n'avez pas besoin de ces prestations</t>
  </si>
  <si>
    <r>
      <t xml:space="preserve">* Attention, la </t>
    </r>
    <r>
      <rPr>
        <b/>
        <u/>
        <sz val="9"/>
        <color theme="1"/>
        <rFont val="Arial"/>
        <family val="2"/>
      </rPr>
      <t>TVA</t>
    </r>
    <r>
      <rPr>
        <sz val="9"/>
        <color theme="1"/>
        <rFont val="Arial"/>
        <family val="2"/>
      </rPr>
      <t xml:space="preserve"> sur </t>
    </r>
    <r>
      <rPr>
        <b/>
        <u/>
        <sz val="9"/>
        <color theme="1"/>
        <rFont val="Arial"/>
        <family val="2"/>
      </rPr>
      <t>les travaux</t>
    </r>
    <r>
      <rPr>
        <sz val="9"/>
        <color theme="1"/>
        <rFont val="Arial"/>
        <family val="2"/>
      </rPr>
      <t xml:space="preserve"> de certains bâtiments peut-être réduite à 6% dans certains cas (bâtiments scolaires, centres PMS, …). Si c'est le cas, adapter le taux de TVA renseigné. </t>
    </r>
    <r>
      <rPr>
        <b/>
        <sz val="9"/>
        <color theme="1"/>
        <rFont val="Arial"/>
        <family val="2"/>
      </rPr>
      <t xml:space="preserve">Attention néanmoins à bien vous renseigner auprès de votre bureau de TVA compétent et/ou auprès de l'agent qui suit votre demande de subvention, le cas échéant. </t>
    </r>
    <r>
      <rPr>
        <sz val="9"/>
        <color theme="1"/>
        <rFont val="Arial"/>
        <family val="2"/>
      </rPr>
      <t>Par exemple, pour les bâtiments scolaires, la TVA appliquée sur certains travaux de type "mobilier" (c'est à dire non encastré comme par exemple certains éclairages, le mobilier à proprement parler, etc.) est de 21% et non 6%. Pour plus d'informations, vous pouvez également conulter la Circulaire 2018/C/6 disponible ici : https://www.minfin.fgov.be/myminfin-web/pages/public/fisconet/document/2dea5430-5e30-40b2-96a1-898921c3a510</t>
    </r>
  </si>
  <si>
    <r>
      <t xml:space="preserve">** Dans certains cas, une </t>
    </r>
    <r>
      <rPr>
        <b/>
        <u/>
        <sz val="9"/>
        <color theme="1"/>
        <rFont val="Arial"/>
        <family val="2"/>
      </rPr>
      <t>prestation préalable</t>
    </r>
    <r>
      <rPr>
        <sz val="9"/>
        <color theme="1"/>
        <rFont val="Arial"/>
        <family val="2"/>
      </rPr>
      <t xml:space="preserve"> est nécessaire pour mieux définir le cadre programmatique et/ou budgétaire du projet :
- Cas 1) </t>
    </r>
    <r>
      <rPr>
        <b/>
        <sz val="9"/>
        <color theme="1"/>
        <rFont val="Arial"/>
        <family val="2"/>
      </rPr>
      <t>Dans le cadre de la mission d'auteur de projet (à activer en 2.3.)</t>
    </r>
    <r>
      <rPr>
        <sz val="9"/>
        <color theme="1"/>
        <rFont val="Arial"/>
        <family val="2"/>
      </rPr>
      <t xml:space="preserve">: si le maître d'ouvrage est capable de définir la valeur maximale de ses investissements travaux à moyen terme (actuels et prévisibles) mais qu'il sent la nécessité de préciser les estimations budgétaires et/ou le programme des besoins avant de lancer la mission classique d'auteur de projet à proprement parler, que le projet est suffisamment "petit" (la valeur globale du marché - voir point 3 -  reste en deça du seuil de publicité) et qu'il n'implique ni une modification de volume, ni une restructuration programmatique importante : cette prestation préalable peut être inclue à la mission de l'auteur de projet (tranche 0), précédant l'entame de la mission classique d'auteur de projet (esquisse, avant-projet, etc.). 
- Cas 2) </t>
    </r>
    <r>
      <rPr>
        <b/>
        <sz val="9"/>
        <color theme="1"/>
        <rFont val="Arial"/>
        <family val="2"/>
      </rPr>
      <t xml:space="preserve">Avant de lancer le marché d'auteur de projet (à activer en 2.1) </t>
    </r>
    <r>
      <rPr>
        <sz val="9"/>
        <color theme="1"/>
        <rFont val="Arial"/>
        <family val="2"/>
      </rPr>
      <t>: si le projet sort d'une ou plusieurs de ces conditions :  le maître d'ouvrage devra alors recourir à un prestataire assistant à maîtrise d’ouvrage (distinct de l'auteur de projet) dont la mission fera l'objet d'un autre marché de services (voir point 3. Définir les grandes lignes du projet ici : http://www.marchesdarchitecture.be/index.php?s=1)
Globalement, le montant de ce type de prestations peut être évalué à 10% (5% dans le cas 1, considérant les effets cumulés d'une proportionalité et d'une économie d'échelle) du montant total de la mission d'auteur de projet tel qu’estimé à ce stade de la procédure.</t>
    </r>
  </si>
  <si>
    <t>&gt; lié à la case G42 ci-dessus</t>
  </si>
  <si>
    <t>&gt; lié à la case G38 ci-dessus</t>
  </si>
  <si>
    <t>&gt; lié à la case G39 ci-dessus</t>
  </si>
  <si>
    <r>
      <t xml:space="preserve">** Cette clause ne sera pas activée si vous estimez que l’infrastructure concernée par le projet n’aura plus besoin d’autres investissements en matière de travaux avant une quinzaine d’années (ceci dépendant de l'état de l'infrastructure). Dans le cas contraire, vous pouvez pévoir </t>
    </r>
    <r>
      <rPr>
        <u/>
        <sz val="10"/>
        <color theme="1"/>
        <rFont val="Arial"/>
        <family val="2"/>
      </rPr>
      <t>jusqu'à maximum 50%</t>
    </r>
    <r>
      <rPr>
        <sz val="10"/>
        <color theme="1"/>
        <rFont val="Arial"/>
        <family val="2"/>
      </rPr>
      <t xml:space="preserve"> des honoraires de la mission classique d'auteur de projet (Tranches 1, 2 et 3). Mais attention, ce pourcentage doit rester logique par rapport à l'ampleur du projet pour rejoindre la notion "d'investissement raisonnable" : s'il s'agit d'un petit projet et que les travaux incluent déjà une opération très complète, appliquer un pourcentage moindre. </t>
    </r>
  </si>
  <si>
    <t>Honoraires sur clause de réexamen pour études préalables nécessaires liées à la spécificité du projet : par ex études patrimoine</t>
  </si>
  <si>
    <r>
      <rPr>
        <u/>
        <sz val="10"/>
        <color theme="1"/>
        <rFont val="Arial"/>
        <family val="2"/>
      </rPr>
      <t>Formule d'indexation :</t>
    </r>
    <r>
      <rPr>
        <b/>
        <sz val="10"/>
        <color theme="1"/>
        <rFont val="Arial"/>
        <family val="2"/>
      </rPr>
      <t xml:space="preserve">           P1 = P0 x ((0,4 x s/S) + (0,4 x i2021/I2021) + 0,20) </t>
    </r>
    <r>
      <rPr>
        <sz val="10"/>
        <color theme="1"/>
        <rFont val="Arial"/>
        <family val="2"/>
      </rPr>
      <t xml:space="preserve">
&gt; Où :
P0 = prix initial
P1 = prix indexé
S = indice salaire de la période initiale
s = indice salaire de la période indexée
I-2021 = indice coût matériaux pour le mois calendrier précédant la période initiale
i-2021= indice coût matériaux pour le mois calendrier précédant la période indexée</t>
    </r>
  </si>
  <si>
    <t>% du marché de base</t>
  </si>
  <si>
    <r>
      <rPr>
        <sz val="8"/>
        <color theme="1"/>
        <rFont val="Arial"/>
        <family val="2"/>
      </rPr>
      <t xml:space="preserve">(2) </t>
    </r>
    <r>
      <rPr>
        <sz val="9"/>
        <color theme="1"/>
        <rFont val="Arial"/>
        <family val="2"/>
      </rPr>
      <t>En fonction de la nature du programme ou du type d'opération à mener, la part détude des ingénieurs  (stabilité et techniques spéciales) peut varier, ce pourcentage peut donc être amené à être modulé.</t>
    </r>
  </si>
  <si>
    <r>
      <t>(3) la compétence en design mobilier doit être intégrée dans l'équipe d'auteur de projet si un design mobilier</t>
    </r>
    <r>
      <rPr>
        <u/>
        <sz val="9"/>
        <color theme="1"/>
        <rFont val="Arial"/>
        <family val="2"/>
      </rPr>
      <t xml:space="preserve"> sur mesure</t>
    </r>
    <r>
      <rPr>
        <sz val="9"/>
        <color theme="1"/>
        <rFont val="Arial"/>
        <family val="2"/>
      </rPr>
      <t xml:space="preserve"> est demandé. Dans ce cas, la compétence est valorisée via le montant des travaux qui inclut un budget pour ce mobilier</t>
    </r>
  </si>
  <si>
    <r>
      <rPr>
        <sz val="8"/>
        <color theme="1"/>
        <rFont val="Arial"/>
        <family val="2"/>
      </rPr>
      <t>(4)</t>
    </r>
    <r>
      <rPr>
        <sz val="9"/>
        <color theme="1"/>
        <rFont val="Arial"/>
        <family val="2"/>
      </rPr>
      <t xml:space="preserve">  Pour l'acoustique, on compte au minimum 0,3% du montant total des travaux. On peut monter jusqu'à 0,8 % en fonction l'activité (besoins et/ou impacts spécifiques en matière acoustique: écoles, lieux de travail, lieux culturels, lieux de spectacle, ...) et de l'environnement (pouvant être sensible: voisins proches, etc... ou lui même générateur de nuisances sonores: ligne ferroviaire, ...). L'acousticien doit donner son avis sur tout, isolation acoustique de l'enveloppe du bâti, mais aussi confort acoustique, pour la bonne qualité des activités, y compris sur les équipements.</t>
    </r>
  </si>
  <si>
    <r>
      <rPr>
        <sz val="8"/>
        <color theme="1"/>
        <rFont val="Arial"/>
        <family val="2"/>
      </rPr>
      <t>(5)</t>
    </r>
    <r>
      <rPr>
        <sz val="9"/>
        <color theme="1"/>
        <rFont val="Arial"/>
        <family val="2"/>
      </rPr>
      <t xml:space="preserve"> Pour le paysage, compter ces honoraires spécifiques de 0,75 % du montant total des travaux si les aménagments attendus vont au-delà d'un simple aménagment d'abords directs de bâtiments (grand jardin, parc, place, masterplanning sur grand terrain, …).</t>
    </r>
  </si>
  <si>
    <r>
      <t>(4)</t>
    </r>
    <r>
      <rPr>
        <sz val="9"/>
        <color theme="1"/>
        <rFont val="Arial"/>
        <family val="2"/>
      </rPr>
      <t xml:space="preserve">  Pour l'acoustique, on compte au minimum 0,3% du montant total des travaux. On peut monter jusqu'à 0,8 % en fonction l'activité (besoins et/ou impacts spécifiques en matière acoustique: écoles, lieux de travail, lieux culturels, lieux de spectacle, ...) et de l'environnement (pouvant être sensible: voisins proches, etc... ou lui même générateur de nuisances sonores: ligne ferroviaire, ...). L'acousticien doit donner son avis sur tout, isolation acoustique de l'enveloppe du bâti, mais aussi confort acoustique, pour la bonne qualité des activités, y compris sur les équipements.</t>
    </r>
  </si>
  <si>
    <r>
      <rPr>
        <sz val="8"/>
        <color theme="1"/>
        <rFont val="Arial"/>
        <family val="2"/>
      </rPr>
      <t>(5)</t>
    </r>
    <r>
      <rPr>
        <sz val="9"/>
        <color theme="1"/>
        <rFont val="Arial"/>
        <family val="2"/>
      </rPr>
      <t xml:space="preserve"> Pour le paysage, compter ces honoraires spécifiques de 0,75 % du montant total des travaux si les aménagments attendus vont au-delà d'un simple aménagment d'abords directs de bâtiments (grand jardin, parc, place, masterplanning sur garnd terrain, …).</t>
    </r>
  </si>
  <si>
    <t>Dédommagement offres non lauréates ET LAUREATE :</t>
  </si>
  <si>
    <t>&gt; lié à la case G35 ci-dessus</t>
  </si>
  <si>
    <t>Déduction du dédommagement de l'offre</t>
  </si>
  <si>
    <t>&gt; lié à la case G40 ci-dessus</t>
  </si>
  <si>
    <r>
      <t xml:space="preserve">ATTENTION : le choix de la procédure et du niveau de publicité est déterminé en fonction du </t>
    </r>
    <r>
      <rPr>
        <i/>
        <sz val="9"/>
        <rFont val="Arial"/>
        <family val="2"/>
      </rPr>
      <t>montant total payable, hors taxe sur la valeur ajoutée, estimé par le pouvoir adjudicateur</t>
    </r>
    <r>
      <rPr>
        <sz val="9"/>
        <rFont val="Arial"/>
        <family val="2"/>
      </rPr>
      <t>, soit la "valeur globale du marché". Il ne s'agit pas d'une valeur que le maître d'ouvrage s'engage à dépenser mais plutôt de la valeur maximale globale du marché que le maître d'ouvrage est en mesure d'estimer et d'anticiper à ce stade. Outre le montant des honoraires déterminé à ce stade et le dédommagement des offres non lauréates, il est en effet relativement courant que dans le cadre de projet d'infrastructures, la valeur initiale du marché de services soit dépasée lors de son exécution. Hormis les effets liés aux mécanismes d'indexation, il y a donc lieu de bien ANTICIPER les éventuelles EVOLUTIONS du marché en restant attentif à certains prestations qui pourraient s'avérer nécessaires en cours de mission, comme par exemple :
- les prestations complémentaires (relevés, prises en sous-traitance d’études préalables, phasage non couvert par le taux initial, etc.) qui pourraient être commandées à l'auteur de projet ;
- les frais spéciaux (tests matériaux, indemnité forfaitaire en cas de dépassement délai chantier, etc.) ;
- les clauses de réexamen liées par exemple à une disponibilité budgétaire complémentaire pour les travaux survenant en cours de mission. Ce type de clause est utile à intégrer en vue de garder le même auteur de projet pour un campagne de travaux ultérieurs envisageables à moyen terme sur le bâtiment (même si à ce stade aucune opportunité budgétaire spécifique est attendue) ;
- d’autres clauses de réexamen liées à la spécificité du projet (nécessité d’études patrimoine, etc.)
Si les prestations complémentaires et les frais spéciaux sont généralement très faibles (&lt; 10% de la valeur du marché), les clauses de réexamen peuvent conduire à une augmentation de 50%, voire davantage. De manière générale, il convient donc d’être attentif  à l'impact de ces différentes prestations éventuelles sur la "valeur globale du marché". Le tableau ci-dessous reprend tous ces éléments de manière exhautive mais ne constitue qu'un exemple qu'il y a lieu d'adapter à la spécificité de votre marché.</t>
    </r>
  </si>
  <si>
    <t>(7) En cas de mission incluant une tranche «Diagnostic préalable», appliquer un facteur de 95% au taux final. Il est en effet considéré que cette mission préalable, faisant l’objet d’une rémunération supplémentaire et distincte, «donne une avance» au prestataire sur les étapes ultérieures.</t>
  </si>
  <si>
    <t>(7)</t>
  </si>
  <si>
    <t>&gt; Case liée au montant des travaux: Onglet "Budget global" &gt; G65</t>
  </si>
  <si>
    <t>Sentiers</t>
  </si>
  <si>
    <t>Prairie, gazon</t>
  </si>
  <si>
    <t>Zones de plantations basses</t>
  </si>
  <si>
    <t>m2 / m l</t>
  </si>
  <si>
    <t>Surfaces minéralisées (type place publique, parking)</t>
  </si>
  <si>
    <t>Grand arbre avec fosse de plantation</t>
  </si>
  <si>
    <t>Places de parking (sauf si déjà compté dans "surface parking ci-dessus): 1 place de parking = 12,5 m²</t>
  </si>
  <si>
    <r>
      <rPr>
        <b/>
        <sz val="14"/>
        <color theme="1"/>
        <rFont val="Arial"/>
        <family val="2"/>
      </rPr>
      <t>*</t>
    </r>
    <r>
      <rPr>
        <b/>
        <sz val="10"/>
        <color theme="1"/>
        <rFont val="Arial"/>
        <family val="2"/>
      </rPr>
      <t xml:space="preserve"> Attention si le projet concerne un bâtiment de la FWB </t>
    </r>
    <r>
      <rPr>
        <b/>
        <u/>
        <sz val="10"/>
        <color theme="1"/>
        <rFont val="Arial"/>
        <family val="2"/>
      </rPr>
      <t>ou</t>
    </r>
    <r>
      <rPr>
        <b/>
        <sz val="10"/>
        <color theme="1"/>
        <rFont val="Arial"/>
        <family val="2"/>
      </rPr>
      <t xml:space="preserve"> bénéficie d'une subvention auprès de la FW-B pour les travaux,</t>
    </r>
    <r>
      <rPr>
        <sz val="10"/>
        <color theme="1"/>
        <rFont val="Arial"/>
        <family val="2"/>
      </rPr>
      <t xml:space="preserve"> ce </t>
    </r>
    <r>
      <rPr>
        <b/>
        <sz val="10"/>
        <color theme="1"/>
        <rFont val="Arial"/>
        <family val="2"/>
      </rPr>
      <t>montant</t>
    </r>
    <r>
      <rPr>
        <sz val="10"/>
        <color theme="1"/>
        <rFont val="Arial"/>
        <family val="2"/>
      </rPr>
      <t xml:space="preserve"> de base est </t>
    </r>
    <r>
      <rPr>
        <b/>
        <sz val="10"/>
        <color theme="1"/>
        <rFont val="Arial"/>
        <family val="2"/>
      </rPr>
      <t>doublé</t>
    </r>
    <r>
      <rPr>
        <sz val="10"/>
        <color theme="1"/>
        <rFont val="Arial"/>
        <family val="2"/>
      </rPr>
      <t xml:space="preserve"> (ne pas modifier ici: cela se fait automatiquement, à condition que vous ayiez complété correctement les données en rose dans l'onglet "Budget global" - 1/ DONNEES PREALABLES)</t>
    </r>
  </si>
  <si>
    <t>Calcul de l'indemnité de soumission</t>
  </si>
  <si>
    <t>Pourcentage de l'indemnité par rapport aux honoraires globaux :</t>
  </si>
  <si>
    <r>
      <rPr>
        <b/>
        <u/>
        <sz val="10"/>
        <color theme="1"/>
        <rFont val="Arial"/>
        <family val="2"/>
      </rPr>
      <t>Pour les PNSPP, un mode de calcul distinct doit être employé: le montant d'indemnité repris ci-dessus devra donc être remplacé manuellement par le montant calculé spécifiquement selon les règles ci après :</t>
    </r>
    <r>
      <rPr>
        <u/>
        <sz val="10"/>
        <color theme="1"/>
        <rFont val="Arial"/>
        <family val="2"/>
      </rPr>
      <t xml:space="preserve">
</t>
    </r>
    <r>
      <rPr>
        <sz val="10"/>
        <color theme="1"/>
        <rFont val="Arial"/>
        <family val="2"/>
      </rPr>
      <t xml:space="preserve">* pour plus d'infos, voir fichier d'aide "CdC PNSPP" ici : http://marchesdarchitecture.be/index.php?s=44
</t>
    </r>
    <r>
      <rPr>
        <u/>
        <sz val="10"/>
        <color theme="1"/>
        <rFont val="Arial"/>
        <family val="2"/>
      </rPr>
      <t xml:space="preserve">
2 cas de figure :</t>
    </r>
    <r>
      <rPr>
        <sz val="10"/>
        <color theme="1"/>
        <rFont val="Arial"/>
        <family val="2"/>
      </rPr>
      <t xml:space="preserve">
1/ Si le projet nécessite un diagnostic préalable, on demande une </t>
    </r>
    <r>
      <rPr>
        <b/>
        <sz val="10"/>
        <color theme="1"/>
        <rFont val="Arial"/>
        <family val="2"/>
      </rPr>
      <t>offre de type "stratégie"</t>
    </r>
    <r>
      <rPr>
        <sz val="10"/>
        <color theme="1"/>
        <rFont val="Arial"/>
        <family val="2"/>
      </rPr>
      <t xml:space="preserve">. L'indemnité sera alors de 1000€. Elle sera en outre augmentée de 500€ par A3 supplémentaire demandé par rapport au format d'offre standard si la spécificité du projet le justifie ;
2/ Dans les autres cas, on demande une </t>
    </r>
    <r>
      <rPr>
        <b/>
        <sz val="10"/>
        <color theme="1"/>
        <rFont val="Arial"/>
        <family val="2"/>
      </rPr>
      <t>offre de type "pré-esquisse"</t>
    </r>
    <r>
      <rPr>
        <sz val="10"/>
        <color theme="1"/>
        <rFont val="Arial"/>
        <family val="2"/>
      </rPr>
      <t xml:space="preserve">. L'indemnité sera lors proportionnée au montant des honoraires globaux :
- pour des honoraires situés entre 30.000 et 50.000€ HTVA : indemnité de 2500€
- pour des honoraires situés entre 50.000 et 70.000€ HTVA : indemnité de 3000€
- pour des honoraires situés entre 70.000 et 143.000€ HTVA : indemnité de 4000€
Cette indemnité sera en outre augmentée de 1000€ si une maquette est demandée (ce que nous déconseillons pour des honoraires inférieurs à 50.000€ HTVA) et de 500€ par A3 supplémentaire demandé par rapport au format d'offre standard si la spécificité du projet le justifie.
</t>
    </r>
  </si>
  <si>
    <t xml:space="preserve">L'indemnité peut être diminuée dans le cas de projets d’espace public ou d’urbanisme. Mais dans ce cas la composition de l'offre devra être adaptée pour être simplifiée : on ne demandera par exemple pas de plans, mais uniquement des schémas d’intention. L’estimation budgétaire sera aussi simplifiée. 
Pour un projet d’architecture, c’est a priori déconseillé car les offres risquent d’être plus difficilement comparables et moins fiables sur le plan de l’estimation budgétaires des travaux. </t>
  </si>
  <si>
    <t xml:space="preserve">S'agissant d'une indemnité (au sens d'un dédommagement), la TVA n'est pas appliquée </t>
  </si>
  <si>
    <t>Indemnisation des offres non lauréates ET LAUREATE</t>
  </si>
  <si>
    <t>Déduction indemnité de soumission de l'offre du lauréat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</si>
</sst>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0\ &quot;€&quot;;\-#,##0\ &quot;€&quot;"/>
    <numFmt numFmtId="44" formatCode="_-* #,##0.00\ &quot;€&quot;_-;\-* #,##0.00\ &quot;€&quot;_-;_-* &quot;-&quot;??\ &quot;€&quot;_-;_-@_-"/>
    <numFmt numFmtId="164" formatCode="_-* #,##0.00&quot; €&quot;_-;\-* #,##0.00&quot; €&quot;_-;_-* \-??&quot; €&quot;_-;_-@_-"/>
    <numFmt numFmtId="165" formatCode="#,##0&quot; €&quot;;[Red]\-#,##0&quot; €&quot;"/>
    <numFmt numFmtId="166" formatCode="#,##0.00&quot; €&quot;"/>
    <numFmt numFmtId="167" formatCode="_-* #,##0&quot; €&quot;_-;\-* #,##0&quot; €&quot;_-;_-* &quot;- €&quot;_-;_-@_-"/>
    <numFmt numFmtId="168" formatCode="0.00_ ;[Red]\-0.00\ "/>
    <numFmt numFmtId="169" formatCode="0.0%"/>
    <numFmt numFmtId="170" formatCode="&quot;&quot;0.00%\)"/>
    <numFmt numFmtId="171" formatCode="\(0.00%\)"/>
    <numFmt numFmtId="172" formatCode="0.000%"/>
    <numFmt numFmtId="173" formatCode="&quot;€&quot;\ #,##0.00"/>
    <numFmt numFmtId="174" formatCode="0.0"/>
    <numFmt numFmtId="175" formatCode="0.000"/>
    <numFmt numFmtId="176" formatCode="#,##0\ &quot;€&quot;"/>
    <numFmt numFmtId="177" formatCode="#,##0.00\ &quot;€&quot;"/>
    <numFmt numFmtId="178" formatCode="_-* #,##0.00\ &quot;F&quot;_-;\-* #,##0.00\ &quot;F&quot;_-;_-* &quot;-&quot;??\ &quot;F&quot;_-;_-@_-"/>
    <numFmt numFmtId="179" formatCode="_-* #,##0\ &quot;F&quot;_-;\-* #,##0\ &quot;F&quot;_-;_-* &quot;-&quot;??\ &quot;F&quot;_-;_-@_-"/>
  </numFmts>
  <fonts count="69" x14ac:knownFonts="1">
    <font>
      <sz val="10"/>
      <name val="Arial"/>
      <family val="2"/>
    </font>
    <font>
      <sz val="11"/>
      <color theme="1"/>
      <name val="Calibri"/>
      <family val="2"/>
      <scheme val="minor"/>
    </font>
    <font>
      <sz val="10"/>
      <name val="Arial"/>
      <family val="2"/>
    </font>
    <font>
      <b/>
      <sz val="10"/>
      <name val="Arial"/>
      <family val="2"/>
    </font>
    <font>
      <sz val="16"/>
      <name val="Arial"/>
      <family val="2"/>
    </font>
    <font>
      <sz val="8"/>
      <name val="Arial"/>
      <family val="2"/>
    </font>
    <font>
      <b/>
      <sz val="12"/>
      <name val="Arial"/>
      <family val="2"/>
    </font>
    <font>
      <sz val="12"/>
      <name val="Arial"/>
      <family val="2"/>
    </font>
    <font>
      <sz val="10"/>
      <name val="Arial"/>
      <family val="2"/>
    </font>
    <font>
      <sz val="9"/>
      <color indexed="81"/>
      <name val="Tahoma"/>
      <family val="2"/>
    </font>
    <font>
      <b/>
      <sz val="9"/>
      <color indexed="81"/>
      <name val="Tahoma"/>
      <family val="2"/>
    </font>
    <font>
      <sz val="9"/>
      <name val="Arial"/>
      <family val="2"/>
    </font>
    <font>
      <sz val="10"/>
      <color indexed="12"/>
      <name val="Arial"/>
      <family val="2"/>
    </font>
    <font>
      <sz val="11"/>
      <name val="Arial"/>
      <family val="2"/>
    </font>
    <font>
      <b/>
      <sz val="11"/>
      <name val="Arial"/>
      <family val="2"/>
    </font>
    <font>
      <sz val="10"/>
      <name val="Wingdings"/>
      <charset val="2"/>
    </font>
    <font>
      <sz val="6"/>
      <name val="Arial"/>
      <family val="2"/>
    </font>
    <font>
      <b/>
      <i/>
      <sz val="10"/>
      <name val="Arial"/>
      <family val="2"/>
    </font>
    <font>
      <sz val="10"/>
      <color rgb="FF0070C0"/>
      <name val="Arial"/>
      <family val="2"/>
    </font>
    <font>
      <b/>
      <sz val="8"/>
      <name val="Arial"/>
      <family val="2"/>
    </font>
    <font>
      <sz val="10"/>
      <color rgb="FFFF0000"/>
      <name val="Arial"/>
      <family val="2"/>
    </font>
    <font>
      <u/>
      <sz val="9"/>
      <color indexed="81"/>
      <name val="Tahoma"/>
      <family val="2"/>
    </font>
    <font>
      <sz val="22"/>
      <name val="Arial"/>
      <family val="2"/>
    </font>
    <font>
      <sz val="10"/>
      <color theme="1"/>
      <name val="Arial"/>
      <family val="2"/>
    </font>
    <font>
      <b/>
      <sz val="10"/>
      <color theme="1"/>
      <name val="Arial"/>
      <family val="2"/>
    </font>
    <font>
      <sz val="10"/>
      <color rgb="FFFF00FF"/>
      <name val="Arial"/>
      <family val="2"/>
    </font>
    <font>
      <u/>
      <sz val="10"/>
      <name val="Arial"/>
      <family val="2"/>
    </font>
    <font>
      <b/>
      <sz val="11"/>
      <color theme="1"/>
      <name val="Arial"/>
      <family val="2"/>
    </font>
    <font>
      <b/>
      <sz val="10"/>
      <color rgb="FFFF0000"/>
      <name val="Arial"/>
      <family val="2"/>
    </font>
    <font>
      <sz val="10"/>
      <color rgb="FF0000FF"/>
      <name val="Arial"/>
      <family val="2"/>
    </font>
    <font>
      <sz val="10"/>
      <color theme="0" tint="-0.499984740745262"/>
      <name val="Arial"/>
      <family val="2"/>
    </font>
    <font>
      <b/>
      <sz val="10"/>
      <color theme="0" tint="-0.499984740745262"/>
      <name val="Arial"/>
      <family val="2"/>
    </font>
    <font>
      <b/>
      <sz val="12"/>
      <color theme="1"/>
      <name val="Arial"/>
      <family val="2"/>
    </font>
    <font>
      <b/>
      <sz val="10"/>
      <color rgb="FFFF00FF"/>
      <name val="Arial"/>
      <family val="2"/>
    </font>
    <font>
      <b/>
      <u/>
      <sz val="10"/>
      <name val="Arial"/>
      <family val="2"/>
    </font>
    <font>
      <sz val="11"/>
      <color rgb="FF0070C0"/>
      <name val="Arial"/>
      <family val="2"/>
    </font>
    <font>
      <sz val="8"/>
      <color theme="1"/>
      <name val="Arial"/>
      <family val="2"/>
    </font>
    <font>
      <sz val="9"/>
      <color indexed="81"/>
      <name val="Tahoma"/>
      <charset val="1"/>
    </font>
    <font>
      <b/>
      <sz val="9"/>
      <color indexed="81"/>
      <name val="Tahoma"/>
      <charset val="1"/>
    </font>
    <font>
      <sz val="9"/>
      <color rgb="FFFF00FF"/>
      <name val="Arial"/>
      <family val="2"/>
    </font>
    <font>
      <sz val="9"/>
      <color theme="1"/>
      <name val="Arial"/>
      <family val="2"/>
    </font>
    <font>
      <b/>
      <u/>
      <sz val="10"/>
      <color theme="1"/>
      <name val="Arial"/>
      <family val="2"/>
    </font>
    <font>
      <b/>
      <u/>
      <sz val="11"/>
      <color theme="1"/>
      <name val="Arial"/>
      <family val="2"/>
    </font>
    <font>
      <b/>
      <sz val="9"/>
      <color theme="1"/>
      <name val="Arial"/>
      <family val="2"/>
    </font>
    <font>
      <u/>
      <sz val="9"/>
      <color theme="1"/>
      <name val="Arial"/>
      <family val="2"/>
    </font>
    <font>
      <sz val="16"/>
      <color theme="1"/>
      <name val="Arial"/>
      <family val="2"/>
    </font>
    <font>
      <sz val="12"/>
      <color theme="1"/>
      <name val="Arial"/>
      <family val="2"/>
    </font>
    <font>
      <b/>
      <sz val="12"/>
      <color rgb="FFFF00FF"/>
      <name val="Arial"/>
      <family val="2"/>
    </font>
    <font>
      <sz val="10"/>
      <color theme="9"/>
      <name val="Arial"/>
      <family val="2"/>
    </font>
    <font>
      <b/>
      <sz val="10"/>
      <color rgb="FF00B050"/>
      <name val="Arial"/>
      <family val="2"/>
    </font>
    <font>
      <sz val="8"/>
      <color theme="9"/>
      <name val="Arial"/>
      <family val="2"/>
    </font>
    <font>
      <b/>
      <sz val="12"/>
      <color rgb="FF0070C0"/>
      <name val="Arial"/>
      <family val="2"/>
    </font>
    <font>
      <b/>
      <u/>
      <sz val="9"/>
      <color theme="1"/>
      <name val="Arial"/>
      <family val="2"/>
    </font>
    <font>
      <sz val="12"/>
      <color rgb="FFFF00FF"/>
      <name val="Arial"/>
      <family val="2"/>
    </font>
    <font>
      <sz val="8"/>
      <color rgb="FFFF00FF"/>
      <name val="Arial"/>
      <family val="2"/>
    </font>
    <font>
      <i/>
      <sz val="8"/>
      <color rgb="FFFF00FF"/>
      <name val="Arial"/>
      <family val="2"/>
    </font>
    <font>
      <u/>
      <sz val="10"/>
      <color rgb="FFFF00FF"/>
      <name val="Arial"/>
      <family val="2"/>
    </font>
    <font>
      <b/>
      <i/>
      <sz val="12"/>
      <color theme="1"/>
      <name val="Arial"/>
      <family val="2"/>
    </font>
    <font>
      <b/>
      <i/>
      <sz val="10"/>
      <color theme="1"/>
      <name val="Arial"/>
      <family val="2"/>
    </font>
    <font>
      <b/>
      <sz val="12"/>
      <color theme="0" tint="-0.499984740745262"/>
      <name val="Arial"/>
      <family val="2"/>
    </font>
    <font>
      <sz val="12"/>
      <color theme="0" tint="-0.499984740745262"/>
      <name val="Arial"/>
      <family val="2"/>
    </font>
    <font>
      <b/>
      <sz val="14"/>
      <color theme="1"/>
      <name val="Arial"/>
      <family val="2"/>
    </font>
    <font>
      <sz val="10"/>
      <color rgb="FF00B0F0"/>
      <name val="Arial"/>
      <family val="2"/>
    </font>
    <font>
      <b/>
      <sz val="20"/>
      <name val="Arial"/>
      <family val="2"/>
    </font>
    <font>
      <sz val="11"/>
      <color theme="1"/>
      <name val="Arial"/>
      <family val="2"/>
    </font>
    <font>
      <u/>
      <sz val="10"/>
      <color theme="1"/>
      <name val="Arial"/>
      <family val="2"/>
    </font>
    <font>
      <i/>
      <sz val="9"/>
      <name val="Arial"/>
      <family val="2"/>
    </font>
    <font>
      <sz val="9"/>
      <color rgb="FF7030A0"/>
      <name val="Segoe UI"/>
      <family val="2"/>
    </font>
    <font>
      <b/>
      <sz val="10"/>
      <color rgb="FF7030A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FFFF00"/>
        <bgColor indexed="64"/>
      </patternFill>
    </fill>
  </fills>
  <borders count="101">
    <border>
      <left/>
      <right/>
      <top/>
      <bottom/>
      <diagonal/>
    </border>
    <border>
      <left style="medium">
        <color indexed="8"/>
      </left>
      <right style="medium">
        <color indexed="8"/>
      </right>
      <top style="medium">
        <color indexed="8"/>
      </top>
      <bottom style="medium">
        <color indexed="8"/>
      </bottom>
      <diagonal/>
    </border>
    <border>
      <left/>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style="medium">
        <color indexed="8"/>
      </left>
      <right/>
      <top/>
      <bottom/>
      <diagonal/>
    </border>
    <border>
      <left/>
      <right style="medium">
        <color indexed="8"/>
      </right>
      <top/>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top style="medium">
        <color indexed="8"/>
      </top>
      <bottom/>
      <diagonal/>
    </border>
    <border>
      <left/>
      <right/>
      <top style="medium">
        <color indexed="8"/>
      </top>
      <bottom/>
      <diagonal/>
    </border>
    <border>
      <left/>
      <right/>
      <top/>
      <bottom style="medium">
        <color indexed="8"/>
      </bottom>
      <diagonal/>
    </border>
    <border>
      <left/>
      <right style="medium">
        <color indexed="8"/>
      </right>
      <top style="medium">
        <color indexed="8"/>
      </top>
      <bottom/>
      <diagonal/>
    </border>
    <border>
      <left style="medium">
        <color indexed="8"/>
      </left>
      <right style="medium">
        <color indexed="8"/>
      </right>
      <top style="medium">
        <color indexed="8"/>
      </top>
      <bottom style="thin">
        <color indexed="8"/>
      </bottom>
      <diagonal/>
    </border>
    <border>
      <left/>
      <right/>
      <top/>
      <bottom style="thin">
        <color indexed="8"/>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medium">
        <color indexed="64"/>
      </left>
      <right/>
      <top style="medium">
        <color indexed="64"/>
      </top>
      <bottom/>
      <diagonal/>
    </border>
    <border>
      <left style="thin">
        <color auto="1"/>
      </left>
      <right style="medium">
        <color indexed="64"/>
      </right>
      <top style="thin">
        <color auto="1"/>
      </top>
      <bottom style="thin">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style="thin">
        <color indexed="64"/>
      </top>
      <bottom style="thin">
        <color indexed="64"/>
      </bottom>
      <diagonal/>
    </border>
    <border>
      <left style="medium">
        <color auto="1"/>
      </left>
      <right style="thin">
        <color auto="1"/>
      </right>
      <top style="thin">
        <color indexed="64"/>
      </top>
      <bottom style="medium">
        <color auto="1"/>
      </bottom>
      <diagonal/>
    </border>
    <border>
      <left style="medium">
        <color auto="1"/>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auto="1"/>
      </right>
      <top style="medium">
        <color indexed="64"/>
      </top>
      <bottom style="thin">
        <color auto="1"/>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style="medium">
        <color indexed="8"/>
      </left>
      <right/>
      <top style="thin">
        <color indexed="8"/>
      </top>
      <bottom/>
      <diagonal/>
    </border>
    <border>
      <left/>
      <right/>
      <top style="thin">
        <color indexed="8"/>
      </top>
      <bottom/>
      <diagonal/>
    </border>
    <border>
      <left style="medium">
        <color indexed="8"/>
      </left>
      <right/>
      <top/>
      <bottom style="thin">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thin">
        <color indexed="8"/>
      </right>
      <top style="thin">
        <color indexed="8"/>
      </top>
      <bottom style="thin">
        <color indexed="8"/>
      </bottom>
      <diagonal/>
    </border>
    <border>
      <left style="medium">
        <color indexed="8"/>
      </left>
      <right/>
      <top style="thin">
        <color indexed="64"/>
      </top>
      <bottom style="thin">
        <color indexed="64"/>
      </bottom>
      <diagonal/>
    </border>
    <border>
      <left/>
      <right/>
      <top style="thin">
        <color indexed="64"/>
      </top>
      <bottom style="thin">
        <color indexed="64"/>
      </bottom>
      <diagonal/>
    </border>
    <border>
      <left/>
      <right style="medium">
        <color indexed="8"/>
      </right>
      <top style="thin">
        <color indexed="8"/>
      </top>
      <bottom/>
      <diagonal/>
    </border>
    <border>
      <left/>
      <right style="medium">
        <color indexed="8"/>
      </right>
      <top/>
      <bottom style="thin">
        <color indexed="8"/>
      </bottom>
      <diagonal/>
    </border>
    <border>
      <left style="medium">
        <color auto="1"/>
      </left>
      <right style="thin">
        <color auto="1"/>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indexed="64"/>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indexed="64"/>
      </right>
      <top style="thin">
        <color auto="1"/>
      </top>
      <bottom/>
      <diagonal/>
    </border>
    <border>
      <left style="medium">
        <color indexed="8"/>
      </left>
      <right style="medium">
        <color indexed="8"/>
      </right>
      <top style="medium">
        <color indexed="8"/>
      </top>
      <bottom style="medium">
        <color indexed="8"/>
      </bottom>
      <diagonal/>
    </border>
    <border>
      <left/>
      <right/>
      <top style="medium">
        <color indexed="8"/>
      </top>
      <bottom style="medium">
        <color indexed="8"/>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medium">
        <color indexed="8"/>
      </top>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auto="1"/>
      </top>
      <bottom/>
      <diagonal/>
    </border>
    <border>
      <left style="thin">
        <color auto="1"/>
      </left>
      <right style="thin">
        <color auto="1"/>
      </right>
      <top/>
      <bottom/>
      <diagonal/>
    </border>
    <border>
      <left/>
      <right style="medium">
        <color auto="1"/>
      </right>
      <top/>
      <bottom/>
      <diagonal/>
    </border>
    <border>
      <left style="medium">
        <color indexed="64"/>
      </left>
      <right style="thin">
        <color indexed="64"/>
      </right>
      <top style="thin">
        <color indexed="64"/>
      </top>
      <bottom style="thin">
        <color indexed="64"/>
      </bottom>
      <diagonal/>
    </border>
    <border>
      <left style="dotted">
        <color auto="1"/>
      </left>
      <right style="hair">
        <color auto="1"/>
      </right>
      <top style="dotted">
        <color auto="1"/>
      </top>
      <bottom style="dotted">
        <color auto="1"/>
      </bottom>
      <diagonal/>
    </border>
    <border>
      <left style="hair">
        <color auto="1"/>
      </left>
      <right style="hair">
        <color auto="1"/>
      </right>
      <top style="dotted">
        <color auto="1"/>
      </top>
      <bottom style="dotted">
        <color auto="1"/>
      </bottom>
      <diagonal/>
    </border>
    <border>
      <left style="hair">
        <color auto="1"/>
      </left>
      <right style="dotted">
        <color auto="1"/>
      </right>
      <top style="dotted">
        <color auto="1"/>
      </top>
      <bottom style="dotted">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top style="thin">
        <color indexed="64"/>
      </top>
      <bottom style="medium">
        <color indexed="64"/>
      </bottom>
      <diagonal/>
    </border>
    <border>
      <left/>
      <right/>
      <top style="thin">
        <color indexed="64"/>
      </top>
      <bottom style="medium">
        <color indexed="64"/>
      </bottom>
      <diagonal/>
    </border>
    <border>
      <left/>
      <right style="medium">
        <color indexed="8"/>
      </right>
      <top style="thin">
        <color indexed="64"/>
      </top>
      <bottom style="medium">
        <color indexed="64"/>
      </bottom>
      <diagonal/>
    </border>
    <border>
      <left style="medium">
        <color indexed="8"/>
      </left>
      <right style="medium">
        <color indexed="8"/>
      </right>
      <top style="medium">
        <color indexed="8"/>
      </top>
      <bottom/>
      <diagonal/>
    </border>
  </borders>
  <cellStyleXfs count="9">
    <xf numFmtId="0" fontId="0" fillId="0" borderId="0"/>
    <xf numFmtId="164" fontId="8" fillId="0" borderId="0" applyFill="0" applyBorder="0" applyAlignment="0" applyProtection="0"/>
    <xf numFmtId="9" fontId="2" fillId="0" borderId="0" applyFill="0" applyBorder="0" applyAlignment="0" applyProtection="0"/>
    <xf numFmtId="164" fontId="2" fillId="0" borderId="0" applyFill="0" applyBorder="0" applyAlignment="0" applyProtection="0"/>
    <xf numFmtId="0" fontId="2" fillId="0" borderId="0"/>
    <xf numFmtId="0" fontId="2" fillId="0" borderId="0"/>
    <xf numFmtId="178" fontId="2" fillId="0" borderId="0" applyFont="0" applyFill="0" applyBorder="0" applyAlignment="0" applyProtection="0"/>
    <xf numFmtId="0" fontId="1" fillId="0" borderId="0"/>
    <xf numFmtId="44" fontId="2" fillId="0" borderId="0" applyFont="0" applyFill="0" applyBorder="0" applyAlignment="0" applyProtection="0"/>
  </cellStyleXfs>
  <cellXfs count="546">
    <xf numFmtId="0" fontId="0" fillId="0" borderId="0" xfId="0"/>
    <xf numFmtId="0" fontId="0" fillId="0" borderId="7" xfId="0" applyBorder="1"/>
    <xf numFmtId="0" fontId="0" fillId="0" borderId="8" xfId="0" applyBorder="1"/>
    <xf numFmtId="166" fontId="0" fillId="0" borderId="9" xfId="0" applyNumberFormat="1" applyBorder="1"/>
    <xf numFmtId="166" fontId="0" fillId="0" borderId="10" xfId="0" applyNumberFormat="1" applyBorder="1"/>
    <xf numFmtId="4" fontId="0" fillId="0" borderId="1" xfId="0" applyNumberFormat="1" applyBorder="1"/>
    <xf numFmtId="0" fontId="0" fillId="0" borderId="5" xfId="0" applyBorder="1"/>
    <xf numFmtId="166" fontId="0" fillId="0" borderId="12" xfId="0" applyNumberFormat="1" applyBorder="1"/>
    <xf numFmtId="166" fontId="0" fillId="0" borderId="13" xfId="0" applyNumberFormat="1" applyBorder="1"/>
    <xf numFmtId="0" fontId="0" fillId="0" borderId="10" xfId="0" applyBorder="1"/>
    <xf numFmtId="0" fontId="3" fillId="0" borderId="6" xfId="0" applyFont="1" applyBorder="1"/>
    <xf numFmtId="166" fontId="3" fillId="0" borderId="2" xfId="0" applyNumberFormat="1" applyFont="1" applyBorder="1"/>
    <xf numFmtId="2" fontId="3" fillId="0" borderId="5" xfId="0" applyNumberFormat="1" applyFont="1" applyBorder="1"/>
    <xf numFmtId="166" fontId="0" fillId="0" borderId="0" xfId="0" applyNumberFormat="1"/>
    <xf numFmtId="2" fontId="0" fillId="0" borderId="0" xfId="0" applyNumberFormat="1"/>
    <xf numFmtId="4" fontId="3" fillId="0" borderId="5" xfId="0" applyNumberFormat="1" applyFont="1" applyBorder="1"/>
    <xf numFmtId="0" fontId="3" fillId="0" borderId="14" xfId="0" applyFont="1" applyBorder="1"/>
    <xf numFmtId="166" fontId="3" fillId="0" borderId="15" xfId="0" applyNumberFormat="1" applyFont="1" applyBorder="1"/>
    <xf numFmtId="0" fontId="3" fillId="0" borderId="11" xfId="0" applyFont="1" applyBorder="1"/>
    <xf numFmtId="166" fontId="3" fillId="0" borderId="16" xfId="0" applyNumberFormat="1" applyFont="1" applyBorder="1"/>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4" fillId="0" borderId="0" xfId="0" applyFont="1"/>
    <xf numFmtId="166" fontId="0" fillId="0" borderId="0" xfId="0" applyNumberFormat="1" applyAlignment="1">
      <alignment horizontal="center" wrapText="1"/>
    </xf>
    <xf numFmtId="166" fontId="3" fillId="0" borderId="0" xfId="0" applyNumberFormat="1" applyFont="1"/>
    <xf numFmtId="10" fontId="0" fillId="0" borderId="0" xfId="0" applyNumberFormat="1" applyAlignment="1">
      <alignment horizontal="center"/>
    </xf>
    <xf numFmtId="4" fontId="0" fillId="0" borderId="12" xfId="0" applyNumberFormat="1" applyBorder="1"/>
    <xf numFmtId="4" fontId="0" fillId="0" borderId="13" xfId="0" applyNumberFormat="1" applyBorder="1"/>
    <xf numFmtId="0" fontId="0" fillId="0" borderId="1" xfId="0" applyBorder="1" applyAlignment="1">
      <alignment horizontal="center" wrapText="1"/>
    </xf>
    <xf numFmtId="0" fontId="3" fillId="0" borderId="15" xfId="0" applyFont="1" applyBorder="1"/>
    <xf numFmtId="0" fontId="0" fillId="0" borderId="15" xfId="0" applyBorder="1"/>
    <xf numFmtId="0" fontId="0" fillId="0" borderId="17" xfId="0" applyBorder="1"/>
    <xf numFmtId="0" fontId="3" fillId="0" borderId="0" xfId="0" applyFont="1"/>
    <xf numFmtId="0" fontId="0" fillId="0" borderId="0" xfId="0" applyAlignment="1">
      <alignment horizontal="right"/>
    </xf>
    <xf numFmtId="0" fontId="3" fillId="0" borderId="0" xfId="0" applyFont="1" applyAlignment="1">
      <alignment horizontal="left"/>
    </xf>
    <xf numFmtId="0" fontId="5" fillId="0" borderId="0" xfId="0" applyFont="1" applyAlignment="1">
      <alignment horizontal="right"/>
    </xf>
    <xf numFmtId="164" fontId="0" fillId="0" borderId="0" xfId="0" applyNumberFormat="1"/>
    <xf numFmtId="10" fontId="0" fillId="0" borderId="0" xfId="0" applyNumberFormat="1"/>
    <xf numFmtId="10" fontId="0" fillId="0" borderId="19" xfId="0" applyNumberFormat="1" applyBorder="1"/>
    <xf numFmtId="166" fontId="0" fillId="0" borderId="19" xfId="0" applyNumberFormat="1" applyBorder="1"/>
    <xf numFmtId="0" fontId="12" fillId="0" borderId="0" xfId="0" applyFont="1"/>
    <xf numFmtId="170" fontId="5" fillId="0" borderId="0" xfId="2" applyNumberFormat="1" applyFont="1" applyFill="1" applyBorder="1" applyAlignment="1" applyProtection="1">
      <alignment horizontal="left"/>
    </xf>
    <xf numFmtId="171" fontId="2" fillId="0" borderId="0" xfId="2" applyNumberFormat="1" applyFill="1" applyBorder="1" applyAlignment="1" applyProtection="1">
      <alignment horizontal="left"/>
    </xf>
    <xf numFmtId="0" fontId="3" fillId="0" borderId="0" xfId="0" applyFont="1" applyAlignment="1">
      <alignment horizontal="right"/>
    </xf>
    <xf numFmtId="0" fontId="0" fillId="0" borderId="16" xfId="0" applyBorder="1"/>
    <xf numFmtId="164" fontId="2" fillId="0" borderId="0" xfId="3" applyFill="1" applyBorder="1" applyAlignment="1" applyProtection="1"/>
    <xf numFmtId="4" fontId="0" fillId="0" borderId="0" xfId="0" applyNumberFormat="1"/>
    <xf numFmtId="172" fontId="2" fillId="0" borderId="0" xfId="2" applyNumberFormat="1" applyFill="1" applyBorder="1" applyAlignment="1" applyProtection="1"/>
    <xf numFmtId="172" fontId="0" fillId="0" borderId="0" xfId="0" applyNumberFormat="1"/>
    <xf numFmtId="13" fontId="2" fillId="0" borderId="0" xfId="2" applyNumberFormat="1" applyFill="1" applyBorder="1" applyAlignment="1" applyProtection="1">
      <alignment horizontal="center" vertical="center"/>
    </xf>
    <xf numFmtId="1" fontId="0" fillId="0" borderId="0" xfId="0" applyNumberFormat="1"/>
    <xf numFmtId="173" fontId="0" fillId="0" borderId="0" xfId="0" applyNumberFormat="1"/>
    <xf numFmtId="0" fontId="14" fillId="0" borderId="0" xfId="0" applyFont="1"/>
    <xf numFmtId="0" fontId="2" fillId="0" borderId="0" xfId="4"/>
    <xf numFmtId="0" fontId="2" fillId="0" borderId="0" xfId="4" applyAlignment="1">
      <alignment horizontal="right" vertical="top"/>
    </xf>
    <xf numFmtId="0" fontId="15" fillId="0" borderId="0" xfId="4" applyFont="1" applyAlignment="1">
      <alignment horizontal="right" vertical="top"/>
    </xf>
    <xf numFmtId="0" fontId="0" fillId="0" borderId="5" xfId="0" applyBorder="1" applyAlignment="1">
      <alignment horizontal="center" wrapText="1"/>
    </xf>
    <xf numFmtId="0" fontId="0" fillId="0" borderId="0" xfId="0" applyAlignment="1">
      <alignment vertical="top" wrapText="1"/>
    </xf>
    <xf numFmtId="0" fontId="0" fillId="0" borderId="6" xfId="0" applyBorder="1"/>
    <xf numFmtId="166" fontId="0" fillId="0" borderId="2" xfId="0" applyNumberFormat="1" applyBorder="1"/>
    <xf numFmtId="4" fontId="0" fillId="0" borderId="5" xfId="0" applyNumberFormat="1" applyBorder="1"/>
    <xf numFmtId="174" fontId="3" fillId="0" borderId="0" xfId="0" applyNumberFormat="1" applyFont="1"/>
    <xf numFmtId="0" fontId="0" fillId="0" borderId="0" xfId="0" applyAlignment="1">
      <alignment horizontal="center" vertical="center" wrapText="1"/>
    </xf>
    <xf numFmtId="0" fontId="5" fillId="0" borderId="0" xfId="0" applyFont="1" applyAlignment="1">
      <alignment horizontal="center" vertical="top" wrapText="1"/>
    </xf>
    <xf numFmtId="0" fontId="0" fillId="0" borderId="0" xfId="0" applyAlignment="1">
      <alignment horizontal="center" vertical="center"/>
    </xf>
    <xf numFmtId="0" fontId="5" fillId="0" borderId="0" xfId="0" applyFont="1" applyAlignment="1">
      <alignment horizontal="center" vertical="center" wrapText="1"/>
    </xf>
    <xf numFmtId="175" fontId="0" fillId="0" borderId="16" xfId="0" applyNumberFormat="1" applyBorder="1" applyAlignment="1">
      <alignment horizontal="right"/>
    </xf>
    <xf numFmtId="1" fontId="0" fillId="0" borderId="16" xfId="0" applyNumberFormat="1" applyBorder="1" applyAlignment="1">
      <alignment horizontal="right"/>
    </xf>
    <xf numFmtId="14" fontId="0" fillId="0" borderId="16" xfId="0" applyNumberFormat="1" applyBorder="1"/>
    <xf numFmtId="0" fontId="16" fillId="0" borderId="0" xfId="0" applyFont="1" applyAlignment="1">
      <alignment horizontal="left" wrapText="1"/>
    </xf>
    <xf numFmtId="171" fontId="12" fillId="0" borderId="0" xfId="2" applyNumberFormat="1" applyFont="1" applyFill="1" applyBorder="1" applyAlignment="1" applyProtection="1">
      <alignment horizontal="left"/>
    </xf>
    <xf numFmtId="0" fontId="6" fillId="0" borderId="0" xfId="4" applyFont="1" applyAlignment="1">
      <alignment horizontal="left" vertical="top" wrapText="1"/>
    </xf>
    <xf numFmtId="0" fontId="3" fillId="0" borderId="0" xfId="4" applyFont="1"/>
    <xf numFmtId="0" fontId="3" fillId="0" borderId="0" xfId="4" applyFont="1" applyAlignment="1">
      <alignment vertical="top" wrapText="1"/>
    </xf>
    <xf numFmtId="0" fontId="2" fillId="0" borderId="0" xfId="0" applyFont="1"/>
    <xf numFmtId="0" fontId="2" fillId="0" borderId="0" xfId="4" applyAlignment="1">
      <alignment vertical="top" wrapText="1"/>
    </xf>
    <xf numFmtId="0" fontId="6" fillId="0" borderId="0" xfId="0" applyFont="1"/>
    <xf numFmtId="0" fontId="7" fillId="0" borderId="0" xfId="0" applyFont="1"/>
    <xf numFmtId="0" fontId="2" fillId="0" borderId="0" xfId="4" quotePrefix="1" applyAlignment="1">
      <alignment horizontal="right" vertical="top"/>
    </xf>
    <xf numFmtId="0" fontId="0" fillId="0" borderId="0" xfId="0" applyAlignment="1">
      <alignment horizontal="center"/>
    </xf>
    <xf numFmtId="0" fontId="3" fillId="0" borderId="0" xfId="4" applyFont="1" applyAlignment="1">
      <alignment horizontal="left" vertical="top" wrapText="1"/>
    </xf>
    <xf numFmtId="166" fontId="0" fillId="0" borderId="0" xfId="0" applyNumberFormat="1" applyAlignment="1">
      <alignment vertical="center"/>
    </xf>
    <xf numFmtId="177" fontId="6" fillId="0" borderId="24" xfId="0" applyNumberFormat="1" applyFont="1" applyBorder="1"/>
    <xf numFmtId="177" fontId="3" fillId="0" borderId="0" xfId="0" applyNumberFormat="1" applyFont="1"/>
    <xf numFmtId="177" fontId="5" fillId="0" borderId="0" xfId="0" applyNumberFormat="1" applyFont="1"/>
    <xf numFmtId="0" fontId="0" fillId="0" borderId="28" xfId="0" applyBorder="1" applyAlignment="1">
      <alignment horizontal="center"/>
    </xf>
    <xf numFmtId="177" fontId="5" fillId="4" borderId="0" xfId="0" applyNumberFormat="1" applyFont="1" applyFill="1"/>
    <xf numFmtId="0" fontId="0" fillId="0" borderId="31" xfId="0" applyBorder="1"/>
    <xf numFmtId="167" fontId="18" fillId="0" borderId="37" xfId="0" applyNumberFormat="1" applyFont="1" applyBorder="1" applyAlignment="1">
      <alignment horizontal="right"/>
    </xf>
    <xf numFmtId="173" fontId="0" fillId="0" borderId="32" xfId="0" applyNumberFormat="1" applyBorder="1"/>
    <xf numFmtId="9" fontId="18" fillId="0" borderId="37" xfId="0" applyNumberFormat="1" applyFont="1" applyBorder="1"/>
    <xf numFmtId="173" fontId="0" fillId="0" borderId="38" xfId="0" applyNumberFormat="1" applyBorder="1"/>
    <xf numFmtId="0" fontId="18" fillId="0" borderId="0" xfId="0" applyFont="1" applyAlignment="1">
      <alignment horizontal="right"/>
    </xf>
    <xf numFmtId="14" fontId="18" fillId="0" borderId="0" xfId="0" applyNumberFormat="1" applyFont="1"/>
    <xf numFmtId="173" fontId="3" fillId="0" borderId="35" xfId="0" applyNumberFormat="1" applyFont="1" applyBorder="1" applyAlignment="1">
      <alignment horizontal="right" vertical="center"/>
    </xf>
    <xf numFmtId="0" fontId="0" fillId="0" borderId="29" xfId="0" applyBorder="1" applyAlignment="1">
      <alignment vertical="center" wrapText="1"/>
    </xf>
    <xf numFmtId="0" fontId="0" fillId="0" borderId="25" xfId="0" applyBorder="1" applyAlignment="1">
      <alignment vertical="center" wrapText="1"/>
    </xf>
    <xf numFmtId="0" fontId="25" fillId="0" borderId="0" xfId="0" applyFont="1"/>
    <xf numFmtId="0" fontId="0" fillId="0" borderId="42" xfId="0" quotePrefix="1" applyBorder="1"/>
    <xf numFmtId="0" fontId="18" fillId="0" borderId="0" xfId="0" applyFont="1" applyAlignment="1">
      <alignment horizontal="center"/>
    </xf>
    <xf numFmtId="173" fontId="0" fillId="0" borderId="0" xfId="0" applyNumberFormat="1" applyAlignment="1">
      <alignment vertical="center"/>
    </xf>
    <xf numFmtId="0" fontId="0" fillId="0" borderId="41" xfId="0" applyBorder="1" applyAlignment="1">
      <alignment vertical="center"/>
    </xf>
    <xf numFmtId="0" fontId="3" fillId="0" borderId="0" xfId="0" applyFont="1" applyAlignment="1">
      <alignment vertical="center"/>
    </xf>
    <xf numFmtId="167" fontId="6" fillId="2" borderId="28" xfId="0" applyNumberFormat="1" applyFont="1" applyFill="1" applyBorder="1" applyAlignment="1">
      <alignment vertical="center"/>
    </xf>
    <xf numFmtId="173" fontId="6" fillId="2" borderId="32" xfId="0" applyNumberFormat="1" applyFont="1" applyFill="1" applyBorder="1" applyAlignment="1">
      <alignment vertical="center"/>
    </xf>
    <xf numFmtId="0" fontId="3" fillId="0" borderId="44" xfId="0" applyFont="1" applyBorder="1" applyAlignment="1">
      <alignment horizontal="center" vertical="center"/>
    </xf>
    <xf numFmtId="173" fontId="3" fillId="0" borderId="21" xfId="0" applyNumberFormat="1" applyFont="1" applyBorder="1" applyAlignment="1">
      <alignment horizontal="center" vertical="center"/>
    </xf>
    <xf numFmtId="0" fontId="0" fillId="0" borderId="41" xfId="0" applyBorder="1" applyAlignment="1">
      <alignment horizontal="left" vertical="center"/>
    </xf>
    <xf numFmtId="173" fontId="6" fillId="2" borderId="28" xfId="0" applyNumberFormat="1" applyFont="1" applyFill="1" applyBorder="1" applyAlignment="1">
      <alignment vertical="center"/>
    </xf>
    <xf numFmtId="0" fontId="23" fillId="0" borderId="0" xfId="0" applyFont="1" applyAlignment="1">
      <alignment horizontal="right"/>
    </xf>
    <xf numFmtId="0" fontId="11" fillId="0" borderId="0" xfId="0" applyFont="1" applyAlignment="1">
      <alignment vertical="center"/>
    </xf>
    <xf numFmtId="0" fontId="0" fillId="0" borderId="44" xfId="0" applyBorder="1" applyAlignment="1">
      <alignment horizontal="center" vertical="center"/>
    </xf>
    <xf numFmtId="9" fontId="0" fillId="0" borderId="28" xfId="0" applyNumberFormat="1" applyBorder="1" applyAlignment="1">
      <alignment vertical="center"/>
    </xf>
    <xf numFmtId="167" fontId="3" fillId="0" borderId="28" xfId="0" applyNumberFormat="1" applyFont="1" applyBorder="1" applyAlignment="1">
      <alignment horizontal="right" vertical="center"/>
    </xf>
    <xf numFmtId="173" fontId="0" fillId="0" borderId="32" xfId="0" applyNumberFormat="1" applyBorder="1" applyAlignment="1">
      <alignment vertical="center"/>
    </xf>
    <xf numFmtId="167" fontId="0" fillId="0" borderId="0" xfId="0" applyNumberFormat="1" applyAlignment="1">
      <alignment vertical="center"/>
    </xf>
    <xf numFmtId="167" fontId="0" fillId="0" borderId="28" xfId="0" applyNumberFormat="1" applyBorder="1" applyAlignment="1">
      <alignment horizontal="right" vertical="center"/>
    </xf>
    <xf numFmtId="0" fontId="18" fillId="0" borderId="0" xfId="0" applyFont="1" applyAlignment="1">
      <alignment vertical="center"/>
    </xf>
    <xf numFmtId="9" fontId="11" fillId="0" borderId="28" xfId="0" applyNumberFormat="1" applyFont="1" applyBorder="1" applyAlignment="1">
      <alignment vertical="center"/>
    </xf>
    <xf numFmtId="0" fontId="3" fillId="2" borderId="36" xfId="0" applyFont="1" applyFill="1" applyBorder="1" applyAlignment="1">
      <alignment horizontal="center" vertical="center"/>
    </xf>
    <xf numFmtId="0" fontId="13" fillId="0" borderId="0" xfId="0" applyFont="1" applyAlignment="1">
      <alignment vertical="center"/>
    </xf>
    <xf numFmtId="167" fontId="18" fillId="0" borderId="28" xfId="0" applyNumberFormat="1" applyFont="1" applyBorder="1" applyAlignment="1">
      <alignment horizontal="right" vertical="center"/>
    </xf>
    <xf numFmtId="0" fontId="26" fillId="0" borderId="41" xfId="0" applyFont="1" applyBorder="1" applyAlignment="1">
      <alignment vertical="center"/>
    </xf>
    <xf numFmtId="0" fontId="0" fillId="0" borderId="41" xfId="0" applyBorder="1" applyAlignment="1">
      <alignment horizontal="right" vertical="center"/>
    </xf>
    <xf numFmtId="0" fontId="0" fillId="0" borderId="41" xfId="0" applyBorder="1" applyAlignment="1">
      <alignment vertical="center" wrapText="1"/>
    </xf>
    <xf numFmtId="0" fontId="0" fillId="0" borderId="41" xfId="0" applyBorder="1" applyAlignment="1">
      <alignment horizontal="right" vertical="center" wrapText="1"/>
    </xf>
    <xf numFmtId="0" fontId="3" fillId="2" borderId="36" xfId="0" applyFont="1" applyFill="1" applyBorder="1" applyAlignment="1">
      <alignment horizontal="center" vertical="center" wrapText="1"/>
    </xf>
    <xf numFmtId="0" fontId="0" fillId="0" borderId="33" xfId="0" quotePrefix="1" applyBorder="1" applyAlignment="1">
      <alignment horizontal="right" vertical="center" wrapText="1"/>
    </xf>
    <xf numFmtId="167" fontId="0" fillId="0" borderId="28" xfId="0" applyNumberFormat="1" applyBorder="1" applyAlignment="1">
      <alignment vertical="center"/>
    </xf>
    <xf numFmtId="0" fontId="4" fillId="0" borderId="0" xfId="5" applyFont="1"/>
    <xf numFmtId="179" fontId="2" fillId="0" borderId="0" xfId="6" applyNumberFormat="1" applyFont="1"/>
    <xf numFmtId="14" fontId="2" fillId="0" borderId="0" xfId="6" applyNumberFormat="1" applyFont="1"/>
    <xf numFmtId="179" fontId="7" fillId="0" borderId="0" xfId="6" applyNumberFormat="1" applyFont="1"/>
    <xf numFmtId="0" fontId="29" fillId="0" borderId="0" xfId="6" applyNumberFormat="1" applyFont="1" applyFill="1" applyBorder="1" applyAlignment="1" applyProtection="1">
      <alignment horizontal="center" vertical="top" wrapText="1"/>
      <protection locked="0"/>
    </xf>
    <xf numFmtId="167" fontId="0" fillId="0" borderId="34" xfId="0" applyNumberFormat="1" applyBorder="1" applyAlignment="1">
      <alignment vertical="center"/>
    </xf>
    <xf numFmtId="0" fontId="0" fillId="0" borderId="33" xfId="0" applyBorder="1" applyAlignment="1">
      <alignment vertical="center" wrapText="1"/>
    </xf>
    <xf numFmtId="0" fontId="7" fillId="0" borderId="0" xfId="5" quotePrefix="1" applyFont="1" applyAlignment="1">
      <alignment vertical="top" wrapText="1"/>
    </xf>
    <xf numFmtId="167" fontId="23" fillId="0" borderId="28" xfId="0" applyNumberFormat="1" applyFont="1" applyBorder="1" applyAlignment="1">
      <alignment vertical="center" wrapText="1"/>
    </xf>
    <xf numFmtId="1" fontId="18" fillId="0" borderId="28" xfId="0" applyNumberFormat="1" applyFont="1" applyBorder="1" applyAlignment="1">
      <alignment horizontal="center" vertical="center"/>
    </xf>
    <xf numFmtId="173" fontId="3" fillId="0" borderId="32" xfId="0" applyNumberFormat="1" applyFont="1" applyBorder="1" applyAlignment="1">
      <alignment vertical="center"/>
    </xf>
    <xf numFmtId="0" fontId="0" fillId="0" borderId="44" xfId="0" applyBorder="1" applyAlignment="1">
      <alignment horizontal="center" vertical="center" wrapText="1"/>
    </xf>
    <xf numFmtId="0" fontId="6" fillId="0" borderId="0" xfId="4" applyFont="1" applyAlignment="1">
      <alignment vertical="top" wrapText="1"/>
    </xf>
    <xf numFmtId="0" fontId="25" fillId="0" borderId="0" xfId="5" quotePrefix="1" applyFont="1" applyAlignment="1">
      <alignment vertical="top"/>
    </xf>
    <xf numFmtId="0" fontId="25" fillId="0" borderId="0" xfId="0" applyFont="1" applyAlignment="1">
      <alignment vertical="center"/>
    </xf>
    <xf numFmtId="0" fontId="2" fillId="0" borderId="0" xfId="4" applyAlignment="1">
      <alignment vertical="center"/>
    </xf>
    <xf numFmtId="0" fontId="20" fillId="0" borderId="0" xfId="0" applyFont="1" applyAlignment="1">
      <alignment vertical="center"/>
    </xf>
    <xf numFmtId="0" fontId="3" fillId="0" borderId="7" xfId="0" applyFont="1" applyBorder="1"/>
    <xf numFmtId="0" fontId="3" fillId="0" borderId="47" xfId="0" applyFont="1" applyBorder="1"/>
    <xf numFmtId="0" fontId="3" fillId="0" borderId="48" xfId="0" applyFont="1" applyBorder="1"/>
    <xf numFmtId="166" fontId="3" fillId="0" borderId="48" xfId="0" applyNumberFormat="1" applyFont="1" applyBorder="1"/>
    <xf numFmtId="0" fontId="5" fillId="0" borderId="7" xfId="0" applyFont="1" applyBorder="1"/>
    <xf numFmtId="0" fontId="0" fillId="0" borderId="49" xfId="0" applyBorder="1"/>
    <xf numFmtId="10" fontId="0" fillId="0" borderId="50" xfId="0" applyNumberFormat="1" applyBorder="1"/>
    <xf numFmtId="166" fontId="0" fillId="0" borderId="50" xfId="0" applyNumberFormat="1" applyBorder="1"/>
    <xf numFmtId="0" fontId="0" fillId="0" borderId="51" xfId="0" applyBorder="1"/>
    <xf numFmtId="0" fontId="0" fillId="0" borderId="50" xfId="0" applyBorder="1"/>
    <xf numFmtId="0" fontId="3" fillId="0" borderId="50" xfId="0" applyFont="1" applyBorder="1" applyAlignment="1">
      <alignment horizontal="right"/>
    </xf>
    <xf numFmtId="166" fontId="3" fillId="0" borderId="50" xfId="0" applyNumberFormat="1" applyFont="1" applyBorder="1"/>
    <xf numFmtId="0" fontId="3" fillId="0" borderId="48" xfId="0" applyFont="1" applyBorder="1" applyAlignment="1">
      <alignment horizontal="left"/>
    </xf>
    <xf numFmtId="0" fontId="0" fillId="0" borderId="50" xfId="0" applyBorder="1" applyAlignment="1">
      <alignment horizontal="right"/>
    </xf>
    <xf numFmtId="0" fontId="6" fillId="0" borderId="47" xfId="0" applyFont="1" applyBorder="1" applyAlignment="1">
      <alignment horizontal="left"/>
    </xf>
    <xf numFmtId="0" fontId="6" fillId="0" borderId="48" xfId="0" applyFont="1" applyBorder="1" applyAlignment="1">
      <alignment horizontal="left"/>
    </xf>
    <xf numFmtId="0" fontId="6" fillId="0" borderId="48" xfId="0" applyFont="1" applyBorder="1" applyAlignment="1">
      <alignment horizontal="right"/>
    </xf>
    <xf numFmtId="0" fontId="5" fillId="0" borderId="7" xfId="0" applyFont="1" applyBorder="1" applyAlignment="1">
      <alignment horizontal="left"/>
    </xf>
    <xf numFmtId="0" fontId="0" fillId="0" borderId="52" xfId="0" applyBorder="1"/>
    <xf numFmtId="0" fontId="0" fillId="0" borderId="53" xfId="0" applyBorder="1"/>
    <xf numFmtId="0" fontId="0" fillId="0" borderId="54" xfId="0" applyBorder="1"/>
    <xf numFmtId="166" fontId="6" fillId="0" borderId="55" xfId="0" applyNumberFormat="1" applyFont="1" applyBorder="1"/>
    <xf numFmtId="0" fontId="3" fillId="0" borderId="8" xfId="0" applyFont="1" applyBorder="1"/>
    <xf numFmtId="0" fontId="3" fillId="0" borderId="50" xfId="0" applyFont="1" applyBorder="1"/>
    <xf numFmtId="0" fontId="3" fillId="0" borderId="56" xfId="0" applyFont="1" applyBorder="1"/>
    <xf numFmtId="17" fontId="3" fillId="0" borderId="57" xfId="0" applyNumberFormat="1" applyFont="1" applyBorder="1" applyAlignment="1">
      <alignment horizontal="right"/>
    </xf>
    <xf numFmtId="0" fontId="3" fillId="0" borderId="57" xfId="0" applyFont="1" applyBorder="1"/>
    <xf numFmtId="0" fontId="5" fillId="0" borderId="8" xfId="0" applyFont="1" applyBorder="1" applyAlignment="1">
      <alignment horizontal="right"/>
    </xf>
    <xf numFmtId="166" fontId="0" fillId="0" borderId="58" xfId="0" applyNumberFormat="1" applyBorder="1"/>
    <xf numFmtId="166" fontId="0" fillId="0" borderId="8" xfId="0" applyNumberFormat="1" applyBorder="1"/>
    <xf numFmtId="166" fontId="0" fillId="0" borderId="59" xfId="0" applyNumberFormat="1" applyBorder="1"/>
    <xf numFmtId="166" fontId="3" fillId="0" borderId="8" xfId="0" applyNumberFormat="1" applyFont="1" applyBorder="1"/>
    <xf numFmtId="0" fontId="5" fillId="0" borderId="7" xfId="0" applyFont="1" applyBorder="1" applyAlignment="1">
      <alignment horizontal="left" wrapText="1"/>
    </xf>
    <xf numFmtId="166" fontId="0" fillId="0" borderId="54" xfId="0" applyNumberFormat="1" applyBorder="1"/>
    <xf numFmtId="0" fontId="30" fillId="0" borderId="0" xfId="0" applyFont="1" applyAlignment="1">
      <alignment horizontal="right"/>
    </xf>
    <xf numFmtId="0" fontId="30" fillId="0" borderId="0" xfId="0" applyFont="1"/>
    <xf numFmtId="0" fontId="30" fillId="0" borderId="0" xfId="0" applyFont="1" applyAlignment="1">
      <alignment vertical="center"/>
    </xf>
    <xf numFmtId="0" fontId="3" fillId="2" borderId="36" xfId="0" applyFont="1" applyFill="1" applyBorder="1" applyAlignment="1">
      <alignment horizontal="left" vertical="center"/>
    </xf>
    <xf numFmtId="167" fontId="30" fillId="0" borderId="0" xfId="0" applyNumberFormat="1" applyFont="1" applyAlignment="1">
      <alignment vertical="center"/>
    </xf>
    <xf numFmtId="167" fontId="30" fillId="0" borderId="0" xfId="0" applyNumberFormat="1" applyFont="1" applyAlignment="1">
      <alignment vertical="center" wrapText="1"/>
    </xf>
    <xf numFmtId="167" fontId="30" fillId="0" borderId="0" xfId="0" applyNumberFormat="1" applyFont="1"/>
    <xf numFmtId="169" fontId="23" fillId="0" borderId="27" xfId="0" applyNumberFormat="1" applyFont="1" applyBorder="1" applyAlignment="1">
      <alignment horizontal="center" vertical="center"/>
    </xf>
    <xf numFmtId="171" fontId="25" fillId="0" borderId="0" xfId="2" applyNumberFormat="1" applyFont="1" applyFill="1" applyBorder="1" applyAlignment="1" applyProtection="1">
      <alignment horizontal="left"/>
    </xf>
    <xf numFmtId="0" fontId="2" fillId="0" borderId="0" xfId="4" applyAlignment="1">
      <alignment horizontal="center" vertical="center"/>
    </xf>
    <xf numFmtId="9" fontId="11" fillId="0" borderId="61" xfId="0" applyNumberFormat="1" applyFont="1" applyBorder="1" applyAlignment="1">
      <alignment vertical="center"/>
    </xf>
    <xf numFmtId="1" fontId="18" fillId="0" borderId="61" xfId="0" applyNumberFormat="1" applyFont="1" applyBorder="1" applyAlignment="1">
      <alignment horizontal="center" vertical="center"/>
    </xf>
    <xf numFmtId="167" fontId="18" fillId="0" borderId="61" xfId="0" applyNumberFormat="1" applyFont="1" applyBorder="1" applyAlignment="1">
      <alignment horizontal="right" vertical="center"/>
    </xf>
    <xf numFmtId="167" fontId="0" fillId="0" borderId="61" xfId="0" applyNumberFormat="1" applyBorder="1" applyAlignment="1">
      <alignment horizontal="right" vertical="center"/>
    </xf>
    <xf numFmtId="173" fontId="0" fillId="0" borderId="62" xfId="0" applyNumberFormat="1" applyBorder="1" applyAlignment="1">
      <alignment vertical="center"/>
    </xf>
    <xf numFmtId="176" fontId="0" fillId="0" borderId="0" xfId="0" applyNumberFormat="1"/>
    <xf numFmtId="0" fontId="0" fillId="0" borderId="0" xfId="0" applyAlignment="1">
      <alignment vertical="center" wrapText="1"/>
    </xf>
    <xf numFmtId="0" fontId="3" fillId="0" borderId="0" xfId="4" applyFont="1" applyAlignment="1">
      <alignment vertical="center"/>
    </xf>
    <xf numFmtId="9" fontId="11" fillId="0" borderId="69" xfId="0" applyNumberFormat="1" applyFont="1" applyBorder="1" applyAlignment="1">
      <alignment vertical="center"/>
    </xf>
    <xf numFmtId="1" fontId="18" fillId="0" borderId="70" xfId="0" applyNumberFormat="1" applyFont="1" applyBorder="1" applyAlignment="1">
      <alignment horizontal="center" vertical="center"/>
    </xf>
    <xf numFmtId="173" fontId="27" fillId="0" borderId="71" xfId="0" applyNumberFormat="1" applyFont="1" applyBorder="1" applyAlignment="1">
      <alignment vertical="center"/>
    </xf>
    <xf numFmtId="0" fontId="34" fillId="0" borderId="41" xfId="0" applyFont="1" applyBorder="1" applyAlignment="1">
      <alignment horizontal="right" vertical="center"/>
    </xf>
    <xf numFmtId="0" fontId="34" fillId="0" borderId="68" xfId="0" applyFont="1" applyBorder="1" applyAlignment="1">
      <alignment horizontal="right" vertical="center"/>
    </xf>
    <xf numFmtId="167" fontId="14" fillId="3" borderId="61" xfId="0" applyNumberFormat="1" applyFont="1" applyFill="1" applyBorder="1" applyAlignment="1">
      <alignment vertical="center"/>
    </xf>
    <xf numFmtId="0" fontId="14" fillId="0" borderId="41" xfId="0" applyFont="1" applyBorder="1" applyAlignment="1">
      <alignment vertical="center" wrapText="1"/>
    </xf>
    <xf numFmtId="9" fontId="13" fillId="0" borderId="28" xfId="0" applyNumberFormat="1" applyFont="1" applyBorder="1" applyAlignment="1">
      <alignment vertical="center"/>
    </xf>
    <xf numFmtId="1" fontId="35" fillId="0" borderId="28" xfId="0" applyNumberFormat="1" applyFont="1" applyBorder="1" applyAlignment="1">
      <alignment horizontal="center" vertical="center"/>
    </xf>
    <xf numFmtId="167" fontId="35" fillId="0" borderId="28" xfId="0" applyNumberFormat="1" applyFont="1" applyBorder="1" applyAlignment="1">
      <alignment horizontal="right" vertical="center"/>
    </xf>
    <xf numFmtId="167" fontId="18" fillId="0" borderId="67" xfId="0" applyNumberFormat="1" applyFont="1" applyBorder="1" applyAlignment="1">
      <alignment horizontal="right" vertical="center"/>
    </xf>
    <xf numFmtId="173" fontId="6" fillId="2" borderId="69" xfId="0" applyNumberFormat="1" applyFont="1" applyFill="1" applyBorder="1" applyAlignment="1">
      <alignment vertical="center"/>
    </xf>
    <xf numFmtId="167" fontId="0" fillId="0" borderId="70" xfId="0" applyNumberFormat="1" applyBorder="1" applyAlignment="1">
      <alignment horizontal="right" vertical="center"/>
    </xf>
    <xf numFmtId="0" fontId="23" fillId="0" borderId="0" xfId="0" applyFont="1"/>
    <xf numFmtId="0" fontId="23" fillId="0" borderId="0" xfId="0" applyFont="1" applyAlignment="1">
      <alignment vertical="center"/>
    </xf>
    <xf numFmtId="0" fontId="23" fillId="0" borderId="0" xfId="0" applyFont="1" applyAlignment="1">
      <alignment vertical="center" wrapText="1"/>
    </xf>
    <xf numFmtId="167" fontId="23" fillId="0" borderId="0" xfId="0" applyNumberFormat="1" applyFont="1" applyAlignment="1">
      <alignment vertical="center"/>
    </xf>
    <xf numFmtId="0" fontId="24" fillId="0" borderId="0" xfId="0" applyFont="1" applyAlignment="1">
      <alignment vertical="center"/>
    </xf>
    <xf numFmtId="167" fontId="23" fillId="0" borderId="0" xfId="0" applyNumberFormat="1" applyFont="1" applyAlignment="1">
      <alignment vertical="center" wrapText="1"/>
    </xf>
    <xf numFmtId="167" fontId="23" fillId="0" borderId="0" xfId="0" applyNumberFormat="1" applyFont="1"/>
    <xf numFmtId="0" fontId="39" fillId="0" borderId="0" xfId="0" applyFont="1"/>
    <xf numFmtId="0" fontId="25" fillId="0" borderId="0" xfId="0" applyFont="1" applyAlignment="1">
      <alignment horizontal="left" wrapText="1"/>
    </xf>
    <xf numFmtId="0" fontId="33" fillId="0" borderId="0" xfId="0" applyFont="1"/>
    <xf numFmtId="0" fontId="24" fillId="0" borderId="24" xfId="0" applyFont="1" applyBorder="1" applyAlignment="1">
      <alignment wrapText="1"/>
    </xf>
    <xf numFmtId="0" fontId="23" fillId="0" borderId="20" xfId="0" applyFont="1" applyBorder="1" applyAlignment="1">
      <alignment vertical="center"/>
    </xf>
    <xf numFmtId="0" fontId="23" fillId="0" borderId="41" xfId="0" applyFont="1" applyBorder="1" applyAlignment="1">
      <alignment vertical="center"/>
    </xf>
    <xf numFmtId="0" fontId="23" fillId="0" borderId="33" xfId="0" applyFont="1" applyBorder="1" applyAlignment="1">
      <alignment vertical="center"/>
    </xf>
    <xf numFmtId="0" fontId="23" fillId="0" borderId="42" xfId="0" applyFont="1" applyBorder="1" applyAlignment="1">
      <alignment vertical="center"/>
    </xf>
    <xf numFmtId="9" fontId="40" fillId="0" borderId="28" xfId="0" applyNumberFormat="1" applyFont="1" applyBorder="1" applyAlignment="1">
      <alignment vertical="center"/>
    </xf>
    <xf numFmtId="0" fontId="23" fillId="0" borderId="41" xfId="0" applyFont="1" applyBorder="1" applyAlignment="1">
      <alignment horizontal="right" vertical="center" wrapText="1"/>
    </xf>
    <xf numFmtId="0" fontId="6" fillId="0" borderId="0" xfId="4" applyFont="1" applyAlignment="1">
      <alignment vertical="center" wrapText="1"/>
    </xf>
    <xf numFmtId="0" fontId="0" fillId="0" borderId="0" xfId="5" applyFont="1" applyAlignment="1">
      <alignment vertical="top" wrapText="1"/>
    </xf>
    <xf numFmtId="0" fontId="42" fillId="0" borderId="41" xfId="0" applyFont="1" applyBorder="1" applyAlignment="1">
      <alignment horizontal="right" vertical="center"/>
    </xf>
    <xf numFmtId="173" fontId="41" fillId="0" borderId="0" xfId="0" applyNumberFormat="1" applyFont="1" applyAlignment="1">
      <alignment horizontal="left" vertical="center"/>
    </xf>
    <xf numFmtId="0" fontId="23" fillId="0" borderId="7" xfId="0" applyFont="1" applyBorder="1" applyAlignment="1">
      <alignment vertical="top" wrapText="1"/>
    </xf>
    <xf numFmtId="0" fontId="23" fillId="0" borderId="0" xfId="0" applyFont="1" applyAlignment="1">
      <alignment vertical="top" wrapText="1"/>
    </xf>
    <xf numFmtId="0" fontId="0" fillId="0" borderId="7" xfId="0" applyBorder="1" applyAlignment="1">
      <alignment vertical="center" wrapText="1"/>
    </xf>
    <xf numFmtId="0" fontId="23" fillId="0" borderId="7" xfId="0" applyFont="1" applyBorder="1"/>
    <xf numFmtId="169" fontId="18" fillId="0" borderId="8" xfId="0" applyNumberFormat="1" applyFont="1" applyBorder="1" applyAlignment="1">
      <alignment horizontal="right" vertical="center"/>
    </xf>
    <xf numFmtId="0" fontId="40" fillId="0" borderId="0" xfId="0" applyFont="1" applyAlignment="1">
      <alignment vertical="top"/>
    </xf>
    <xf numFmtId="0" fontId="40" fillId="0" borderId="0" xfId="0" applyFont="1"/>
    <xf numFmtId="0" fontId="18" fillId="0" borderId="0" xfId="0" applyFont="1"/>
    <xf numFmtId="176" fontId="3" fillId="3" borderId="48" xfId="0" applyNumberFormat="1" applyFont="1" applyFill="1" applyBorder="1"/>
    <xf numFmtId="0" fontId="23" fillId="0" borderId="0" xfId="4" applyFont="1" applyAlignment="1">
      <alignment horizontal="center" vertical="center"/>
    </xf>
    <xf numFmtId="0" fontId="24" fillId="0" borderId="0" xfId="0" applyFont="1" applyAlignment="1">
      <alignment horizontal="center"/>
    </xf>
    <xf numFmtId="179" fontId="23" fillId="0" borderId="0" xfId="6" applyNumberFormat="1" applyFont="1"/>
    <xf numFmtId="0" fontId="23" fillId="0" borderId="72" xfId="0" applyFont="1" applyBorder="1" applyAlignment="1">
      <alignment horizontal="center" wrapText="1"/>
    </xf>
    <xf numFmtId="0" fontId="23" fillId="0" borderId="73" xfId="0" applyFont="1" applyBorder="1" applyAlignment="1">
      <alignment horizontal="center" wrapText="1"/>
    </xf>
    <xf numFmtId="0" fontId="23" fillId="0" borderId="2" xfId="0" applyFont="1" applyBorder="1" applyAlignment="1">
      <alignment horizontal="center" wrapText="1"/>
    </xf>
    <xf numFmtId="0" fontId="23" fillId="0" borderId="1" xfId="0" applyFont="1" applyBorder="1" applyAlignment="1">
      <alignment horizontal="center" wrapText="1"/>
    </xf>
    <xf numFmtId="9" fontId="23" fillId="0" borderId="3" xfId="0" applyNumberFormat="1" applyFont="1" applyBorder="1" applyAlignment="1">
      <alignment horizontal="center"/>
    </xf>
    <xf numFmtId="10" fontId="23" fillId="0" borderId="4" xfId="0" applyNumberFormat="1" applyFont="1" applyBorder="1" applyAlignment="1">
      <alignment horizontal="center"/>
    </xf>
    <xf numFmtId="9" fontId="23" fillId="0" borderId="4" xfId="0" applyNumberFormat="1" applyFont="1" applyBorder="1" applyAlignment="1">
      <alignment horizontal="center"/>
    </xf>
    <xf numFmtId="0" fontId="23" fillId="0" borderId="5" xfId="0" applyFont="1" applyBorder="1" applyAlignment="1">
      <alignment horizontal="center"/>
    </xf>
    <xf numFmtId="10" fontId="23" fillId="0" borderId="1" xfId="0" applyNumberFormat="1" applyFont="1" applyBorder="1" applyAlignment="1">
      <alignment horizontal="center"/>
    </xf>
    <xf numFmtId="0" fontId="23" fillId="0" borderId="1" xfId="0" applyFont="1" applyBorder="1" applyAlignment="1">
      <alignment horizontal="center"/>
    </xf>
    <xf numFmtId="0" fontId="23" fillId="0" borderId="6" xfId="0" applyFont="1" applyBorder="1" applyAlignment="1">
      <alignment horizontal="right"/>
    </xf>
    <xf numFmtId="166" fontId="23" fillId="0" borderId="3" xfId="0" applyNumberFormat="1" applyFont="1" applyBorder="1"/>
    <xf numFmtId="166" fontId="23" fillId="0" borderId="4" xfId="0" applyNumberFormat="1" applyFont="1" applyBorder="1"/>
    <xf numFmtId="166" fontId="23" fillId="0" borderId="5" xfId="0" applyNumberFormat="1" applyFont="1" applyBorder="1"/>
    <xf numFmtId="166" fontId="24" fillId="0" borderId="1" xfId="0" applyNumberFormat="1" applyFont="1" applyBorder="1"/>
    <xf numFmtId="2" fontId="23" fillId="0" borderId="1" xfId="0" applyNumberFormat="1" applyFont="1" applyBorder="1"/>
    <xf numFmtId="10" fontId="23" fillId="0" borderId="0" xfId="0" applyNumberFormat="1" applyFont="1"/>
    <xf numFmtId="2" fontId="23" fillId="0" borderId="0" xfId="0" applyNumberFormat="1" applyFont="1"/>
    <xf numFmtId="0" fontId="23" fillId="0" borderId="0" xfId="0" applyFont="1" applyAlignment="1">
      <alignment horizontal="center" wrapText="1"/>
    </xf>
    <xf numFmtId="9" fontId="24" fillId="0" borderId="0" xfId="0" applyNumberFormat="1" applyFont="1"/>
    <xf numFmtId="165" fontId="24" fillId="3" borderId="5" xfId="0" applyNumberFormat="1" applyFont="1" applyFill="1" applyBorder="1"/>
    <xf numFmtId="10" fontId="23" fillId="0" borderId="6" xfId="0" applyNumberFormat="1" applyFont="1" applyBorder="1" applyAlignment="1">
      <alignment horizontal="center"/>
    </xf>
    <xf numFmtId="166" fontId="23" fillId="0" borderId="1" xfId="0" applyNumberFormat="1" applyFont="1" applyBorder="1"/>
    <xf numFmtId="166" fontId="3" fillId="0" borderId="77" xfId="0" applyNumberFormat="1" applyFont="1" applyBorder="1"/>
    <xf numFmtId="0" fontId="3" fillId="0" borderId="77" xfId="0" applyFont="1" applyBorder="1"/>
    <xf numFmtId="4" fontId="3" fillId="0" borderId="77" xfId="0" applyNumberFormat="1" applyFont="1" applyBorder="1"/>
    <xf numFmtId="10" fontId="24" fillId="0" borderId="0" xfId="0" applyNumberFormat="1" applyFont="1"/>
    <xf numFmtId="0" fontId="23" fillId="0" borderId="0" xfId="0" applyFont="1" applyAlignment="1">
      <alignment horizontal="center" vertical="center" wrapText="1"/>
    </xf>
    <xf numFmtId="0" fontId="23" fillId="0" borderId="16" xfId="0" applyFont="1" applyBorder="1"/>
    <xf numFmtId="173" fontId="14" fillId="0" borderId="32" xfId="0" applyNumberFormat="1" applyFont="1" applyBorder="1" applyAlignment="1">
      <alignment vertical="center"/>
    </xf>
    <xf numFmtId="0" fontId="0" fillId="0" borderId="0" xfId="4" applyFont="1" applyAlignment="1">
      <alignment vertical="top" wrapText="1"/>
    </xf>
    <xf numFmtId="0" fontId="2" fillId="0" borderId="0" xfId="4" applyAlignment="1">
      <alignment horizontal="left" vertical="center" wrapText="1" indent="1"/>
    </xf>
    <xf numFmtId="0" fontId="6" fillId="0" borderId="0" xfId="0" applyFont="1" applyAlignment="1">
      <alignment vertical="center"/>
    </xf>
    <xf numFmtId="0" fontId="46" fillId="0" borderId="0" xfId="0" applyFont="1" applyAlignment="1">
      <alignment vertical="center"/>
    </xf>
    <xf numFmtId="0" fontId="7" fillId="0" borderId="0" xfId="0" applyFont="1" applyAlignment="1">
      <alignment vertical="center"/>
    </xf>
    <xf numFmtId="0" fontId="23" fillId="0" borderId="53" xfId="0" applyFont="1" applyBorder="1"/>
    <xf numFmtId="0" fontId="23" fillId="0" borderId="0" xfId="7" applyFont="1" applyAlignment="1">
      <alignment vertical="center"/>
    </xf>
    <xf numFmtId="0" fontId="41" fillId="0" borderId="41" xfId="0" applyFont="1" applyBorder="1" applyAlignment="1">
      <alignment horizontal="right" vertical="center"/>
    </xf>
    <xf numFmtId="167" fontId="24" fillId="0" borderId="28" xfId="0" applyNumberFormat="1" applyFont="1" applyBorder="1" applyAlignment="1">
      <alignment horizontal="right" vertical="center"/>
    </xf>
    <xf numFmtId="9" fontId="11" fillId="0" borderId="26" xfId="0" applyNumberFormat="1" applyFont="1" applyBorder="1" applyAlignment="1">
      <alignment vertical="center"/>
    </xf>
    <xf numFmtId="9" fontId="18" fillId="0" borderId="0" xfId="0" quotePrefix="1" applyNumberFormat="1" applyFont="1" applyAlignment="1">
      <alignment horizontal="left" vertical="center"/>
    </xf>
    <xf numFmtId="167" fontId="23" fillId="0" borderId="62" xfId="0" applyNumberFormat="1" applyFont="1" applyBorder="1" applyAlignment="1">
      <alignment vertical="center" wrapText="1"/>
    </xf>
    <xf numFmtId="167" fontId="3" fillId="0" borderId="62" xfId="0" applyNumberFormat="1" applyFont="1" applyBorder="1" applyAlignment="1">
      <alignment horizontal="center" vertical="center"/>
    </xf>
    <xf numFmtId="1" fontId="25" fillId="0" borderId="28" xfId="0" applyNumberFormat="1" applyFont="1" applyBorder="1" applyAlignment="1">
      <alignment horizontal="center" vertical="center"/>
    </xf>
    <xf numFmtId="167" fontId="25" fillId="0" borderId="28" xfId="0" applyNumberFormat="1" applyFont="1" applyBorder="1" applyAlignment="1">
      <alignment horizontal="right" vertical="center"/>
    </xf>
    <xf numFmtId="0" fontId="32" fillId="2" borderId="36" xfId="0" applyFont="1" applyFill="1" applyBorder="1" applyAlignment="1">
      <alignment horizontal="left" vertical="center"/>
    </xf>
    <xf numFmtId="0" fontId="6" fillId="2" borderId="36" xfId="0" applyFont="1" applyFill="1" applyBorder="1" applyAlignment="1">
      <alignment horizontal="left" vertical="center"/>
    </xf>
    <xf numFmtId="166" fontId="6" fillId="0" borderId="58" xfId="0" applyNumberFormat="1" applyFont="1" applyBorder="1"/>
    <xf numFmtId="167" fontId="14" fillId="5" borderId="61" xfId="0" applyNumberFormat="1" applyFont="1" applyFill="1" applyBorder="1" applyAlignment="1">
      <alignment vertical="center"/>
    </xf>
    <xf numFmtId="167" fontId="48" fillId="0" borderId="0" xfId="0" applyNumberFormat="1" applyFont="1" applyAlignment="1">
      <alignment horizontal="left" vertical="center" wrapText="1"/>
    </xf>
    <xf numFmtId="166" fontId="50" fillId="0" borderId="0" xfId="0" applyNumberFormat="1" applyFont="1" applyAlignment="1">
      <alignment horizontal="right"/>
    </xf>
    <xf numFmtId="9" fontId="51" fillId="2" borderId="36" xfId="0" applyNumberFormat="1" applyFont="1" applyFill="1" applyBorder="1" applyAlignment="1">
      <alignment vertical="center"/>
    </xf>
    <xf numFmtId="0" fontId="24" fillId="0" borderId="0" xfId="4" applyFont="1" applyAlignment="1">
      <alignment horizontal="left" vertical="top" wrapText="1"/>
    </xf>
    <xf numFmtId="0" fontId="25" fillId="0" borderId="32" xfId="0" applyFont="1" applyBorder="1" applyAlignment="1">
      <alignment vertical="center"/>
    </xf>
    <xf numFmtId="9" fontId="40" fillId="0" borderId="61" xfId="0" applyNumberFormat="1" applyFont="1" applyBorder="1" applyAlignment="1">
      <alignment vertical="center"/>
    </xf>
    <xf numFmtId="9" fontId="11" fillId="0" borderId="84" xfId="0" applyNumberFormat="1" applyFont="1" applyBorder="1" applyAlignment="1">
      <alignment vertical="center"/>
    </xf>
    <xf numFmtId="5" fontId="23" fillId="0" borderId="28" xfId="0" applyNumberFormat="1" applyFont="1" applyBorder="1" applyAlignment="1">
      <alignment vertical="center"/>
    </xf>
    <xf numFmtId="173" fontId="32" fillId="2" borderId="28" xfId="0" applyNumberFormat="1" applyFont="1" applyFill="1" applyBorder="1" applyAlignment="1">
      <alignment vertical="center"/>
    </xf>
    <xf numFmtId="173" fontId="32" fillId="2" borderId="32" xfId="0" applyNumberFormat="1" applyFont="1" applyFill="1" applyBorder="1" applyAlignment="1">
      <alignment vertical="center"/>
    </xf>
    <xf numFmtId="173" fontId="23" fillId="0" borderId="32" xfId="0" applyNumberFormat="1" applyFont="1" applyBorder="1" applyAlignment="1">
      <alignment vertical="center"/>
    </xf>
    <xf numFmtId="0" fontId="23" fillId="0" borderId="41" xfId="0" applyFont="1" applyBorder="1" applyAlignment="1">
      <alignment horizontal="right" vertical="center"/>
    </xf>
    <xf numFmtId="1" fontId="23" fillId="0" borderId="28" xfId="0" applyNumberFormat="1" applyFont="1" applyBorder="1" applyAlignment="1">
      <alignment horizontal="center" vertical="center"/>
    </xf>
    <xf numFmtId="167" fontId="23" fillId="0" borderId="28" xfId="0" applyNumberFormat="1" applyFont="1" applyBorder="1" applyAlignment="1">
      <alignment horizontal="right" vertical="center"/>
    </xf>
    <xf numFmtId="0" fontId="32" fillId="2" borderId="60" xfId="0" applyFont="1" applyFill="1" applyBorder="1" applyAlignment="1">
      <alignment vertical="center"/>
    </xf>
    <xf numFmtId="0" fontId="23" fillId="0" borderId="41" xfId="0" applyFont="1" applyBorder="1" applyAlignment="1">
      <alignment vertical="center" wrapText="1"/>
    </xf>
    <xf numFmtId="9" fontId="40" fillId="0" borderId="61" xfId="0" applyNumberFormat="1" applyFont="1" applyBorder="1" applyAlignment="1">
      <alignment horizontal="center" vertical="center"/>
    </xf>
    <xf numFmtId="0" fontId="23" fillId="0" borderId="60" xfId="0" applyFont="1" applyBorder="1" applyAlignment="1">
      <alignment horizontal="right" vertical="center"/>
    </xf>
    <xf numFmtId="179" fontId="7" fillId="0" borderId="85" xfId="6" applyNumberFormat="1" applyFont="1" applyBorder="1"/>
    <xf numFmtId="0" fontId="25" fillId="0" borderId="40" xfId="0" applyFont="1" applyBorder="1"/>
    <xf numFmtId="0" fontId="25" fillId="0" borderId="21" xfId="0" applyFont="1" applyBorder="1" applyAlignment="1">
      <alignment vertical="center"/>
    </xf>
    <xf numFmtId="0" fontId="25" fillId="0" borderId="38" xfId="0" applyFont="1" applyBorder="1" applyAlignment="1">
      <alignment vertical="center"/>
    </xf>
    <xf numFmtId="0" fontId="53" fillId="0" borderId="0" xfId="0" applyFont="1" applyAlignment="1">
      <alignment horizontal="left"/>
    </xf>
    <xf numFmtId="0" fontId="25" fillId="0" borderId="0" xfId="0" applyFont="1" applyAlignment="1">
      <alignment horizontal="right"/>
    </xf>
    <xf numFmtId="0" fontId="25" fillId="0" borderId="0" xfId="0" applyFont="1" applyAlignment="1">
      <alignment horizontal="center"/>
    </xf>
    <xf numFmtId="5" fontId="25" fillId="0" borderId="28" xfId="0" applyNumberFormat="1" applyFont="1" applyBorder="1" applyAlignment="1">
      <alignment vertical="center"/>
    </xf>
    <xf numFmtId="9" fontId="47" fillId="2" borderId="36" xfId="0" applyNumberFormat="1" applyFont="1" applyFill="1" applyBorder="1" applyAlignment="1">
      <alignment vertical="center"/>
    </xf>
    <xf numFmtId="169" fontId="25" fillId="0" borderId="27" xfId="0" applyNumberFormat="1" applyFont="1" applyBorder="1" applyAlignment="1">
      <alignment horizontal="center" vertical="center"/>
    </xf>
    <xf numFmtId="9" fontId="25" fillId="0" borderId="28" xfId="0" applyNumberFormat="1" applyFont="1" applyBorder="1" applyAlignment="1">
      <alignment vertical="center"/>
    </xf>
    <xf numFmtId="0" fontId="25" fillId="0" borderId="41" xfId="0" quotePrefix="1" applyFont="1" applyBorder="1"/>
    <xf numFmtId="9" fontId="39" fillId="0" borderId="28" xfId="0" applyNumberFormat="1" applyFont="1" applyBorder="1"/>
    <xf numFmtId="9" fontId="39" fillId="0" borderId="61" xfId="0" applyNumberFormat="1" applyFont="1" applyBorder="1"/>
    <xf numFmtId="9" fontId="25" fillId="0" borderId="28" xfId="0" applyNumberFormat="1" applyFont="1" applyBorder="1"/>
    <xf numFmtId="167" fontId="25" fillId="0" borderId="28" xfId="0" applyNumberFormat="1" applyFont="1" applyBorder="1" applyAlignment="1">
      <alignment horizontal="right"/>
    </xf>
    <xf numFmtId="169" fontId="0" fillId="0" borderId="27" xfId="0" applyNumberFormat="1" applyBorder="1" applyAlignment="1">
      <alignment horizontal="center" vertical="center"/>
    </xf>
    <xf numFmtId="0" fontId="24" fillId="0" borderId="7" xfId="0" applyFont="1" applyBorder="1"/>
    <xf numFmtId="0" fontId="24" fillId="0" borderId="0" xfId="0" applyFont="1"/>
    <xf numFmtId="166" fontId="36" fillId="0" borderId="0" xfId="0" applyNumberFormat="1" applyFont="1" applyAlignment="1">
      <alignment horizontal="right"/>
    </xf>
    <xf numFmtId="0" fontId="23" fillId="0" borderId="7" xfId="0" applyFont="1" applyBorder="1" applyAlignment="1">
      <alignment wrapText="1"/>
    </xf>
    <xf numFmtId="166" fontId="25" fillId="0" borderId="0" xfId="0" applyNumberFormat="1" applyFont="1" applyAlignment="1">
      <alignment vertical="center"/>
    </xf>
    <xf numFmtId="0" fontId="32" fillId="0" borderId="83" xfId="0" applyFont="1" applyBorder="1" applyAlignment="1">
      <alignment horizontal="right" wrapText="1"/>
    </xf>
    <xf numFmtId="0" fontId="40" fillId="0" borderId="0" xfId="0" applyFont="1" applyAlignment="1">
      <alignment vertical="top" wrapText="1"/>
    </xf>
    <xf numFmtId="169" fontId="49" fillId="0" borderId="17" xfId="0" applyNumberFormat="1" applyFont="1" applyBorder="1"/>
    <xf numFmtId="167" fontId="49" fillId="0" borderId="10" xfId="3" applyNumberFormat="1" applyFont="1" applyFill="1" applyBorder="1" applyAlignment="1" applyProtection="1"/>
    <xf numFmtId="176" fontId="25" fillId="0" borderId="0" xfId="0" applyNumberFormat="1" applyFont="1"/>
    <xf numFmtId="2" fontId="25" fillId="0" borderId="0" xfId="0" applyNumberFormat="1" applyFont="1"/>
    <xf numFmtId="0" fontId="55" fillId="0" borderId="0" xfId="0" applyFont="1" applyAlignment="1">
      <alignment horizontal="right" vertical="center"/>
    </xf>
    <xf numFmtId="0" fontId="24" fillId="0" borderId="0" xfId="4" applyFont="1" applyAlignment="1">
      <alignment vertical="top" wrapText="1"/>
    </xf>
    <xf numFmtId="0" fontId="23" fillId="0" borderId="0" xfId="4" quotePrefix="1" applyFont="1" applyAlignment="1">
      <alignment vertical="top" wrapText="1"/>
    </xf>
    <xf numFmtId="0" fontId="23" fillId="0" borderId="46" xfId="0" applyFont="1" applyBorder="1" applyAlignment="1">
      <alignment horizontal="center" vertical="center"/>
    </xf>
    <xf numFmtId="0" fontId="23" fillId="0" borderId="81" xfId="0" applyFont="1" applyBorder="1" applyAlignment="1">
      <alignment horizontal="center" vertical="center"/>
    </xf>
    <xf numFmtId="0" fontId="3" fillId="0" borderId="28" xfId="0" applyFont="1" applyBorder="1" applyAlignment="1">
      <alignment vertical="center"/>
    </xf>
    <xf numFmtId="0" fontId="0" fillId="0" borderId="28" xfId="0" applyBorder="1" applyAlignment="1">
      <alignment vertical="center"/>
    </xf>
    <xf numFmtId="167" fontId="23" fillId="0" borderId="38" xfId="0" applyNumberFormat="1" applyFont="1" applyBorder="1" applyAlignment="1">
      <alignment vertical="center" wrapText="1"/>
    </xf>
    <xf numFmtId="0" fontId="25" fillId="0" borderId="28" xfId="0" applyFont="1" applyBorder="1" applyAlignment="1">
      <alignment vertical="center"/>
    </xf>
    <xf numFmtId="0" fontId="25" fillId="0" borderId="37" xfId="0" applyFont="1" applyBorder="1" applyAlignment="1">
      <alignment vertical="center"/>
    </xf>
    <xf numFmtId="9" fontId="25" fillId="0" borderId="37" xfId="0" applyNumberFormat="1" applyFont="1" applyBorder="1" applyAlignment="1">
      <alignment vertical="center"/>
    </xf>
    <xf numFmtId="0" fontId="0" fillId="0" borderId="39" xfId="0" applyBorder="1" applyAlignment="1">
      <alignment horizontal="left" wrapText="1"/>
    </xf>
    <xf numFmtId="0" fontId="11" fillId="0" borderId="25" xfId="0" applyFont="1" applyBorder="1" applyAlignment="1">
      <alignment horizontal="center" vertical="center"/>
    </xf>
    <xf numFmtId="167" fontId="6" fillId="0" borderId="91" xfId="0" applyNumberFormat="1" applyFont="1" applyBorder="1" applyAlignment="1">
      <alignment horizontal="center" vertical="center"/>
    </xf>
    <xf numFmtId="176" fontId="24" fillId="0" borderId="0" xfId="8" applyNumberFormat="1" applyFont="1" applyFill="1" applyBorder="1" applyAlignment="1">
      <alignment horizontal="center" vertical="center"/>
    </xf>
    <xf numFmtId="0" fontId="2" fillId="0" borderId="42" xfId="7" applyFont="1" applyBorder="1" applyAlignment="1">
      <alignment horizontal="right"/>
    </xf>
    <xf numFmtId="177" fontId="3" fillId="0" borderId="37" xfId="6" applyNumberFormat="1" applyFont="1" applyFill="1" applyBorder="1" applyAlignment="1" applyProtection="1">
      <alignment horizontal="right"/>
    </xf>
    <xf numFmtId="0" fontId="0" fillId="0" borderId="37" xfId="7" applyFont="1" applyBorder="1" applyAlignment="1">
      <alignment horizontal="right"/>
    </xf>
    <xf numFmtId="0" fontId="25" fillId="0" borderId="37" xfId="6" applyNumberFormat="1" applyFont="1" applyFill="1" applyBorder="1" applyAlignment="1" applyProtection="1">
      <alignment horizontal="right" vertical="center" wrapText="1"/>
      <protection locked="0"/>
    </xf>
    <xf numFmtId="179" fontId="7" fillId="0" borderId="37" xfId="6" applyNumberFormat="1" applyFont="1" applyFill="1" applyBorder="1"/>
    <xf numFmtId="176" fontId="24" fillId="0" borderId="37" xfId="8" applyNumberFormat="1" applyFont="1" applyFill="1" applyBorder="1" applyAlignment="1">
      <alignment vertical="center"/>
    </xf>
    <xf numFmtId="176" fontId="2" fillId="0" borderId="38" xfId="8" applyNumberFormat="1" applyFont="1" applyFill="1" applyBorder="1" applyAlignment="1">
      <alignment horizontal="center" vertical="center"/>
    </xf>
    <xf numFmtId="0" fontId="23" fillId="0" borderId="80" xfId="7" applyFont="1" applyBorder="1" applyAlignment="1">
      <alignment horizontal="right"/>
    </xf>
    <xf numFmtId="17" fontId="25" fillId="0" borderId="81" xfId="6" applyNumberFormat="1" applyFont="1" applyFill="1" applyBorder="1" applyAlignment="1">
      <alignment horizontal="center" vertical="center"/>
    </xf>
    <xf numFmtId="0" fontId="2" fillId="0" borderId="81" xfId="7" applyFont="1" applyBorder="1" applyAlignment="1">
      <alignment horizontal="right"/>
    </xf>
    <xf numFmtId="0" fontId="25" fillId="0" borderId="81" xfId="6" applyNumberFormat="1" applyFont="1" applyFill="1" applyBorder="1" applyAlignment="1" applyProtection="1">
      <alignment horizontal="right" vertical="center" wrapText="1"/>
      <protection locked="0"/>
    </xf>
    <xf numFmtId="179" fontId="7" fillId="0" borderId="81" xfId="6" applyNumberFormat="1" applyFont="1" applyFill="1" applyBorder="1"/>
    <xf numFmtId="179" fontId="2" fillId="0" borderId="81" xfId="6" applyNumberFormat="1" applyFont="1" applyFill="1" applyBorder="1" applyAlignment="1">
      <alignment horizontal="left"/>
    </xf>
    <xf numFmtId="179" fontId="2" fillId="0" borderId="82" xfId="6" applyNumberFormat="1" applyFont="1" applyFill="1" applyBorder="1" applyAlignment="1"/>
    <xf numFmtId="176" fontId="24" fillId="0" borderId="38" xfId="8" applyNumberFormat="1" applyFont="1" applyFill="1" applyBorder="1" applyAlignment="1">
      <alignment vertical="center"/>
    </xf>
    <xf numFmtId="0" fontId="2" fillId="0" borderId="92" xfId="7" applyFont="1" applyBorder="1" applyAlignment="1">
      <alignment horizontal="right"/>
    </xf>
    <xf numFmtId="177" fontId="3" fillId="0" borderId="0" xfId="6" applyNumberFormat="1" applyFont="1" applyFill="1" applyBorder="1" applyAlignment="1" applyProtection="1">
      <alignment horizontal="right"/>
    </xf>
    <xf numFmtId="0" fontId="0" fillId="0" borderId="0" xfId="7" applyFont="1" applyAlignment="1">
      <alignment horizontal="right"/>
    </xf>
    <xf numFmtId="0" fontId="18" fillId="0" borderId="0" xfId="6" applyNumberFormat="1" applyFont="1" applyFill="1" applyBorder="1" applyAlignment="1" applyProtection="1">
      <alignment vertical="center" wrapText="1"/>
      <protection locked="0"/>
    </xf>
    <xf numFmtId="179" fontId="7" fillId="0" borderId="85" xfId="6" applyNumberFormat="1" applyFont="1" applyFill="1" applyBorder="1"/>
    <xf numFmtId="179" fontId="2" fillId="0" borderId="81" xfId="6" applyNumberFormat="1" applyFont="1" applyFill="1" applyBorder="1" applyAlignment="1"/>
    <xf numFmtId="0" fontId="6" fillId="2" borderId="61" xfId="4" applyFont="1" applyFill="1" applyBorder="1" applyAlignment="1">
      <alignment horizontal="left" vertical="center" wrapText="1"/>
    </xf>
    <xf numFmtId="0" fontId="24" fillId="0" borderId="8" xfId="0" applyFont="1" applyBorder="1"/>
    <xf numFmtId="0" fontId="3" fillId="0" borderId="14" xfId="0" applyFont="1" applyBorder="1" applyAlignment="1">
      <alignment vertical="center"/>
    </xf>
    <xf numFmtId="167" fontId="49" fillId="0" borderId="0" xfId="3" applyNumberFormat="1" applyFont="1" applyFill="1" applyBorder="1" applyAlignment="1" applyProtection="1"/>
    <xf numFmtId="0" fontId="32" fillId="0" borderId="0" xfId="4" applyFont="1" applyAlignment="1">
      <alignment horizontal="center" vertical="center" wrapText="1"/>
    </xf>
    <xf numFmtId="0" fontId="32" fillId="0" borderId="0" xfId="0" applyFont="1" applyAlignment="1">
      <alignment horizontal="center" vertical="center"/>
    </xf>
    <xf numFmtId="0" fontId="24" fillId="0" borderId="7" xfId="0" applyFont="1" applyBorder="1" applyAlignment="1">
      <alignment horizontal="center" wrapText="1"/>
    </xf>
    <xf numFmtId="0" fontId="24" fillId="0" borderId="0" xfId="0" applyFont="1" applyAlignment="1">
      <alignment horizontal="center" wrapText="1"/>
    </xf>
    <xf numFmtId="0" fontId="23" fillId="0" borderId="0" xfId="0" applyFont="1" applyAlignment="1">
      <alignment horizontal="center"/>
    </xf>
    <xf numFmtId="0" fontId="3" fillId="0" borderId="0" xfId="0" applyFont="1" applyAlignment="1">
      <alignment horizontal="center"/>
    </xf>
    <xf numFmtId="2" fontId="3" fillId="0" borderId="0" xfId="0" applyNumberFormat="1" applyFont="1"/>
    <xf numFmtId="4" fontId="3" fillId="0" borderId="0" xfId="0" applyNumberFormat="1" applyFont="1"/>
    <xf numFmtId="0" fontId="45" fillId="0" borderId="0" xfId="0" applyFont="1"/>
    <xf numFmtId="0" fontId="0" fillId="0" borderId="7" xfId="0" applyBorder="1" applyAlignment="1">
      <alignment vertical="center"/>
    </xf>
    <xf numFmtId="0" fontId="24" fillId="0" borderId="47" xfId="0" applyFont="1" applyBorder="1" applyAlignment="1">
      <alignment vertical="center"/>
    </xf>
    <xf numFmtId="0" fontId="24" fillId="0" borderId="48" xfId="0" applyFont="1" applyBorder="1" applyAlignment="1">
      <alignment vertical="center"/>
    </xf>
    <xf numFmtId="166" fontId="24" fillId="5" borderId="48" xfId="0" applyNumberFormat="1" applyFont="1" applyFill="1" applyBorder="1" applyAlignment="1">
      <alignment vertical="center"/>
    </xf>
    <xf numFmtId="0" fontId="0" fillId="0" borderId="8" xfId="0" applyBorder="1" applyAlignment="1">
      <alignment vertical="center"/>
    </xf>
    <xf numFmtId="0" fontId="23" fillId="0" borderId="7" xfId="0" applyFont="1" applyBorder="1" applyAlignment="1">
      <alignment vertical="center" wrapText="1"/>
    </xf>
    <xf numFmtId="0" fontId="23" fillId="0" borderId="7" xfId="0" applyFont="1" applyBorder="1" applyAlignment="1">
      <alignment vertical="center"/>
    </xf>
    <xf numFmtId="166" fontId="23" fillId="0" borderId="0" xfId="0" applyNumberFormat="1" applyFont="1" applyAlignment="1">
      <alignment vertical="center"/>
    </xf>
    <xf numFmtId="179" fontId="7" fillId="0" borderId="0" xfId="6" applyNumberFormat="1" applyFont="1" applyBorder="1"/>
    <xf numFmtId="0" fontId="30" fillId="0" borderId="61" xfId="7" applyFont="1" applyBorder="1" applyAlignment="1">
      <alignment horizontal="right"/>
    </xf>
    <xf numFmtId="177" fontId="31" fillId="0" borderId="61" xfId="6" applyNumberFormat="1" applyFont="1" applyFill="1" applyBorder="1" applyAlignment="1" applyProtection="1">
      <alignment horizontal="right"/>
    </xf>
    <xf numFmtId="0" fontId="30" fillId="0" borderId="61" xfId="6" applyNumberFormat="1" applyFont="1" applyFill="1" applyBorder="1" applyAlignment="1" applyProtection="1">
      <alignment vertical="center" wrapText="1"/>
      <protection locked="0"/>
    </xf>
    <xf numFmtId="179" fontId="60" fillId="0" borderId="61" xfId="6" applyNumberFormat="1" applyFont="1" applyFill="1" applyBorder="1"/>
    <xf numFmtId="176" fontId="31" fillId="0" borderId="61" xfId="8" applyNumberFormat="1" applyFont="1" applyFill="1" applyBorder="1" applyAlignment="1">
      <alignment vertical="center"/>
    </xf>
    <xf numFmtId="176" fontId="30" fillId="0" borderId="61" xfId="8" applyNumberFormat="1" applyFont="1" applyFill="1" applyBorder="1" applyAlignment="1">
      <alignment horizontal="center" vertical="center"/>
    </xf>
    <xf numFmtId="17" fontId="30" fillId="0" borderId="61" xfId="6" applyNumberFormat="1" applyFont="1" applyFill="1" applyBorder="1" applyAlignment="1">
      <alignment horizontal="center" vertical="center"/>
    </xf>
    <xf numFmtId="179" fontId="30" fillId="0" borderId="61" xfId="6" applyNumberFormat="1" applyFont="1" applyFill="1" applyBorder="1" applyAlignment="1">
      <alignment horizontal="left"/>
    </xf>
    <xf numFmtId="179" fontId="30" fillId="0" borderId="61" xfId="6" applyNumberFormat="1" applyFont="1" applyFill="1" applyBorder="1" applyAlignment="1"/>
    <xf numFmtId="176" fontId="31" fillId="0" borderId="61" xfId="8" applyNumberFormat="1" applyFont="1" applyFill="1" applyBorder="1" applyAlignment="1">
      <alignment horizontal="center" vertical="center"/>
    </xf>
    <xf numFmtId="17" fontId="3" fillId="0" borderId="52" xfId="0" applyNumberFormat="1" applyFont="1" applyBorder="1" applyAlignment="1">
      <alignment horizontal="right"/>
    </xf>
    <xf numFmtId="166" fontId="63" fillId="0" borderId="94" xfId="4" applyNumberFormat="1" applyFont="1" applyBorder="1" applyAlignment="1">
      <alignment horizontal="center" vertical="center" wrapText="1"/>
    </xf>
    <xf numFmtId="0" fontId="6" fillId="0" borderId="95" xfId="4" applyFont="1" applyBorder="1" applyAlignment="1">
      <alignment horizontal="center" vertical="center" wrapText="1"/>
    </xf>
    <xf numFmtId="0" fontId="6" fillId="0" borderId="96" xfId="4" applyFont="1" applyBorder="1" applyAlignment="1">
      <alignment horizontal="center" vertical="center" wrapText="1"/>
    </xf>
    <xf numFmtId="0" fontId="0" fillId="0" borderId="97" xfId="0" applyBorder="1"/>
    <xf numFmtId="0" fontId="0" fillId="0" borderId="98" xfId="0" applyBorder="1"/>
    <xf numFmtId="14" fontId="23" fillId="0" borderId="0" xfId="0" applyNumberFormat="1" applyFont="1"/>
    <xf numFmtId="0" fontId="24" fillId="0" borderId="0" xfId="4" applyFont="1" applyAlignment="1">
      <alignment horizontal="left" vertical="center" wrapText="1"/>
    </xf>
    <xf numFmtId="9" fontId="3" fillId="5" borderId="27" xfId="0" applyNumberFormat="1" applyFont="1" applyFill="1" applyBorder="1" applyAlignment="1">
      <alignment horizontal="center" vertical="center"/>
    </xf>
    <xf numFmtId="0" fontId="64" fillId="0" borderId="0" xfId="0" applyFont="1" applyAlignment="1">
      <alignment vertical="center"/>
    </xf>
    <xf numFmtId="0" fontId="23" fillId="0" borderId="98" xfId="0" applyFont="1" applyBorder="1" applyAlignment="1">
      <alignment horizontal="right" vertical="center"/>
    </xf>
    <xf numFmtId="174" fontId="22" fillId="0" borderId="98" xfId="2" applyNumberFormat="1" applyFont="1" applyFill="1" applyBorder="1" applyAlignment="1" applyProtection="1">
      <alignment horizontal="right" vertical="center"/>
    </xf>
    <xf numFmtId="0" fontId="0" fillId="0" borderId="99" xfId="0" applyBorder="1" applyAlignment="1">
      <alignment vertical="center"/>
    </xf>
    <xf numFmtId="171" fontId="23" fillId="0" borderId="7" xfId="2" applyNumberFormat="1" applyFont="1" applyFill="1" applyBorder="1" applyAlignment="1" applyProtection="1">
      <alignment vertical="top" wrapText="1"/>
    </xf>
    <xf numFmtId="171" fontId="23" fillId="0" borderId="0" xfId="2" applyNumberFormat="1" applyFont="1" applyFill="1" applyBorder="1" applyAlignment="1" applyProtection="1">
      <alignment vertical="top" wrapText="1"/>
    </xf>
    <xf numFmtId="9" fontId="25" fillId="0" borderId="9" xfId="0" applyNumberFormat="1" applyFont="1" applyBorder="1"/>
    <xf numFmtId="166" fontId="23" fillId="0" borderId="0" xfId="0" applyNumberFormat="1" applyFont="1"/>
    <xf numFmtId="0" fontId="36" fillId="0" borderId="0" xfId="0" applyFont="1" applyAlignment="1">
      <alignment vertical="top" wrapText="1"/>
    </xf>
    <xf numFmtId="0" fontId="6" fillId="0" borderId="28" xfId="0" applyFont="1" applyBorder="1" applyAlignment="1">
      <alignment vertical="center"/>
    </xf>
    <xf numFmtId="0" fontId="23" fillId="0" borderId="28" xfId="0" applyFont="1" applyBorder="1" applyAlignment="1">
      <alignment vertical="center"/>
    </xf>
    <xf numFmtId="0" fontId="67" fillId="0" borderId="0" xfId="0" applyFont="1"/>
    <xf numFmtId="0" fontId="68" fillId="0" borderId="0" xfId="0" quotePrefix="1" applyFont="1"/>
    <xf numFmtId="0" fontId="0" fillId="0" borderId="86" xfId="0" applyBorder="1" applyAlignment="1">
      <alignment horizontal="right" vertical="center"/>
    </xf>
    <xf numFmtId="1" fontId="25" fillId="0" borderId="61" xfId="0" applyNumberFormat="1" applyFont="1" applyBorder="1" applyAlignment="1">
      <alignment horizontal="center" vertical="center"/>
    </xf>
    <xf numFmtId="167" fontId="25" fillId="0" borderId="61" xfId="0" applyNumberFormat="1" applyFont="1" applyBorder="1" applyAlignment="1">
      <alignment horizontal="right" vertical="center"/>
    </xf>
    <xf numFmtId="0" fontId="24" fillId="7" borderId="7" xfId="0" applyFont="1" applyFill="1" applyBorder="1" applyAlignment="1">
      <alignment vertical="center" wrapText="1"/>
    </xf>
    <xf numFmtId="0" fontId="7" fillId="0" borderId="0" xfId="0" applyFont="1" applyAlignment="1">
      <alignment horizontal="left"/>
    </xf>
    <xf numFmtId="0" fontId="32" fillId="0" borderId="22" xfId="4" applyFont="1" applyBorder="1" applyAlignment="1">
      <alignment horizontal="left" vertical="center" wrapText="1"/>
    </xf>
    <xf numFmtId="0" fontId="32" fillId="0" borderId="45" xfId="4" applyFont="1" applyBorder="1" applyAlignment="1">
      <alignment horizontal="left" vertical="center" wrapText="1"/>
    </xf>
    <xf numFmtId="0" fontId="32" fillId="0" borderId="23" xfId="4" applyFont="1" applyBorder="1" applyAlignment="1">
      <alignment horizontal="left" vertical="center" wrapText="1"/>
    </xf>
    <xf numFmtId="0" fontId="23" fillId="0" borderId="87" xfId="0" applyFont="1" applyBorder="1" applyAlignment="1">
      <alignment horizontal="left" vertical="center"/>
    </xf>
    <xf numFmtId="0" fontId="23" fillId="0" borderId="88" xfId="0" applyFont="1" applyBorder="1" applyAlignment="1">
      <alignment horizontal="left" vertical="center"/>
    </xf>
    <xf numFmtId="0" fontId="23" fillId="0" borderId="89" xfId="0" applyFont="1" applyBorder="1" applyAlignment="1">
      <alignment horizontal="left" vertical="center"/>
    </xf>
    <xf numFmtId="0" fontId="23" fillId="0" borderId="78" xfId="0" applyFont="1" applyBorder="1" applyAlignment="1">
      <alignment horizontal="left" vertical="top" wrapText="1"/>
    </xf>
    <xf numFmtId="0" fontId="23" fillId="0" borderId="63" xfId="0" applyFont="1" applyBorder="1" applyAlignment="1">
      <alignment horizontal="left" vertical="top" wrapText="1"/>
    </xf>
    <xf numFmtId="0" fontId="23" fillId="0" borderId="79" xfId="0" applyFont="1" applyBorder="1" applyAlignment="1">
      <alignment horizontal="left" vertical="top" wrapText="1"/>
    </xf>
    <xf numFmtId="0" fontId="6" fillId="0" borderId="90" xfId="0" applyFont="1" applyBorder="1" applyAlignment="1">
      <alignment horizontal="center" vertical="center"/>
    </xf>
    <xf numFmtId="0" fontId="6" fillId="0" borderId="25" xfId="0" applyFont="1" applyBorder="1" applyAlignment="1">
      <alignment horizontal="center" vertical="center"/>
    </xf>
    <xf numFmtId="0" fontId="34" fillId="0" borderId="86" xfId="0" applyFont="1" applyBorder="1" applyAlignment="1">
      <alignment horizontal="left" vertical="center"/>
    </xf>
    <xf numFmtId="0" fontId="34" fillId="0" borderId="28" xfId="0" applyFont="1" applyBorder="1" applyAlignment="1">
      <alignment horizontal="left" vertical="center"/>
    </xf>
    <xf numFmtId="0" fontId="23" fillId="0" borderId="86" xfId="0" applyFont="1" applyBorder="1" applyAlignment="1">
      <alignment horizontal="right" vertical="center" wrapText="1"/>
    </xf>
    <xf numFmtId="0" fontId="23" fillId="0" borderId="28" xfId="0" applyFont="1" applyBorder="1" applyAlignment="1">
      <alignment horizontal="right" vertical="center" wrapText="1"/>
    </xf>
    <xf numFmtId="0" fontId="23" fillId="0" borderId="86" xfId="0" applyFont="1" applyBorder="1" applyAlignment="1">
      <alignment horizontal="right" vertical="center"/>
    </xf>
    <xf numFmtId="0" fontId="23" fillId="0" borderId="28" xfId="0" applyFont="1" applyBorder="1" applyAlignment="1">
      <alignment horizontal="right" vertical="center"/>
    </xf>
    <xf numFmtId="0" fontId="23" fillId="0" borderId="42" xfId="0" applyFont="1" applyBorder="1" applyAlignment="1">
      <alignment horizontal="right" vertical="center" wrapText="1"/>
    </xf>
    <xf numFmtId="0" fontId="23" fillId="0" borderId="37" xfId="0" applyFont="1" applyBorder="1" applyAlignment="1">
      <alignment horizontal="right" vertical="center" wrapText="1"/>
    </xf>
    <xf numFmtId="0" fontId="11" fillId="0" borderId="22" xfId="0" applyFont="1" applyBorder="1" applyAlignment="1">
      <alignment horizontal="left" vertical="top" wrapText="1"/>
    </xf>
    <xf numFmtId="0" fontId="11" fillId="0" borderId="45" xfId="0" applyFont="1" applyBorder="1" applyAlignment="1">
      <alignment horizontal="left" vertical="top" wrapText="1"/>
    </xf>
    <xf numFmtId="0" fontId="11" fillId="0" borderId="23" xfId="0" applyFont="1" applyBorder="1" applyAlignment="1">
      <alignment horizontal="left" vertical="top" wrapText="1"/>
    </xf>
    <xf numFmtId="0" fontId="6" fillId="2" borderId="22" xfId="4" applyFont="1" applyFill="1" applyBorder="1" applyAlignment="1">
      <alignment horizontal="center" vertical="center" wrapText="1"/>
    </xf>
    <xf numFmtId="0" fontId="6" fillId="2" borderId="45" xfId="4" applyFont="1" applyFill="1" applyBorder="1" applyAlignment="1">
      <alignment horizontal="center" vertical="center" wrapText="1"/>
    </xf>
    <xf numFmtId="0" fontId="6" fillId="2" borderId="23" xfId="4" applyFont="1" applyFill="1" applyBorder="1" applyAlignment="1">
      <alignment horizontal="center" vertical="center" wrapText="1"/>
    </xf>
    <xf numFmtId="173" fontId="14" fillId="0" borderId="22" xfId="0" applyNumberFormat="1" applyFont="1" applyBorder="1" applyAlignment="1">
      <alignment horizontal="right"/>
    </xf>
    <xf numFmtId="173" fontId="14" fillId="0" borderId="45" xfId="0" applyNumberFormat="1" applyFont="1" applyBorder="1" applyAlignment="1">
      <alignment horizontal="right"/>
    </xf>
    <xf numFmtId="173" fontId="14" fillId="0" borderId="23" xfId="0" applyNumberFormat="1" applyFont="1" applyBorder="1" applyAlignment="1">
      <alignment horizontal="right"/>
    </xf>
    <xf numFmtId="0" fontId="32" fillId="2" borderId="43" xfId="0" applyFont="1" applyFill="1" applyBorder="1" applyAlignment="1">
      <alignment horizontal="left" vertical="center"/>
    </xf>
    <xf numFmtId="0" fontId="32" fillId="2" borderId="36" xfId="0" applyFont="1" applyFill="1" applyBorder="1" applyAlignment="1">
      <alignment horizontal="left" vertical="center"/>
    </xf>
    <xf numFmtId="0" fontId="40" fillId="0" borderId="78" xfId="0" applyFont="1" applyBorder="1" applyAlignment="1">
      <alignment horizontal="left" vertical="top" wrapText="1"/>
    </xf>
    <xf numFmtId="0" fontId="40" fillId="0" borderId="63" xfId="0" applyFont="1" applyBorder="1" applyAlignment="1">
      <alignment horizontal="left" vertical="top" wrapText="1"/>
    </xf>
    <xf numFmtId="0" fontId="40" fillId="0" borderId="79" xfId="0" applyFont="1" applyBorder="1" applyAlignment="1">
      <alignment horizontal="left" vertical="top" wrapText="1"/>
    </xf>
    <xf numFmtId="0" fontId="32" fillId="6" borderId="22" xfId="4" applyFont="1" applyFill="1" applyBorder="1" applyAlignment="1">
      <alignment horizontal="left" vertical="center" wrapText="1"/>
    </xf>
    <xf numFmtId="0" fontId="32" fillId="6" borderId="45" xfId="4" applyFont="1" applyFill="1" applyBorder="1" applyAlignment="1">
      <alignment horizontal="left" vertical="center" wrapText="1"/>
    </xf>
    <xf numFmtId="0" fontId="32" fillId="6" borderId="23" xfId="4" applyFont="1" applyFill="1" applyBorder="1" applyAlignment="1">
      <alignment horizontal="left" vertical="center" wrapText="1"/>
    </xf>
    <xf numFmtId="0" fontId="24" fillId="0" borderId="22" xfId="4" applyFont="1" applyBorder="1" applyAlignment="1">
      <alignment horizontal="left" vertical="center" wrapText="1"/>
    </xf>
    <xf numFmtId="0" fontId="24" fillId="0" borderId="45" xfId="4" applyFont="1" applyBorder="1" applyAlignment="1">
      <alignment horizontal="left" vertical="center" wrapText="1"/>
    </xf>
    <xf numFmtId="0" fontId="24" fillId="0" borderId="23" xfId="4" applyFont="1" applyBorder="1" applyAlignment="1">
      <alignment horizontal="left" vertical="center" wrapText="1"/>
    </xf>
    <xf numFmtId="0" fontId="59" fillId="0" borderId="61" xfId="4" applyFont="1" applyBorder="1" applyAlignment="1">
      <alignment horizontal="center" vertical="center" wrapText="1"/>
    </xf>
    <xf numFmtId="0" fontId="23" fillId="0" borderId="39" xfId="5" applyFont="1" applyBorder="1" applyAlignment="1">
      <alignment horizontal="left" vertical="top" wrapText="1"/>
    </xf>
    <xf numFmtId="0" fontId="23" fillId="0" borderId="93" xfId="5" applyFont="1" applyBorder="1" applyAlignment="1">
      <alignment horizontal="left" vertical="top" wrapText="1"/>
    </xf>
    <xf numFmtId="0" fontId="23" fillId="0" borderId="40" xfId="5" applyFont="1" applyBorder="1" applyAlignment="1">
      <alignment horizontal="left" vertical="top" wrapText="1"/>
    </xf>
    <xf numFmtId="49" fontId="23" fillId="0" borderId="22" xfId="6" quotePrefix="1" applyNumberFormat="1" applyFont="1" applyBorder="1" applyAlignment="1">
      <alignment horizontal="left" vertical="top" wrapText="1"/>
    </xf>
    <xf numFmtId="49" fontId="23" fillId="0" borderId="45" xfId="6" applyNumberFormat="1" applyFont="1" applyBorder="1" applyAlignment="1">
      <alignment horizontal="left" vertical="top"/>
    </xf>
    <xf numFmtId="49" fontId="23" fillId="0" borderId="23" xfId="6" applyNumberFormat="1" applyFont="1" applyBorder="1" applyAlignment="1">
      <alignment horizontal="left" vertical="top"/>
    </xf>
    <xf numFmtId="0" fontId="0" fillId="0" borderId="7" xfId="0" applyBorder="1" applyAlignment="1">
      <alignment horizontal="left" vertical="top" wrapText="1"/>
    </xf>
    <xf numFmtId="0" fontId="0" fillId="0" borderId="0" xfId="0" applyAlignment="1">
      <alignment horizontal="left" vertical="top" wrapText="1"/>
    </xf>
    <xf numFmtId="0" fontId="23" fillId="0" borderId="7" xfId="0" applyFont="1" applyBorder="1" applyAlignment="1">
      <alignment horizontal="left" vertical="top" wrapText="1"/>
    </xf>
    <xf numFmtId="0" fontId="23" fillId="0" borderId="0" xfId="0" applyFont="1" applyAlignment="1">
      <alignment horizontal="left" vertical="top" wrapText="1"/>
    </xf>
    <xf numFmtId="0" fontId="23" fillId="0" borderId="7" xfId="0" applyFont="1" applyBorder="1" applyAlignment="1">
      <alignment horizontal="left" vertical="center"/>
    </xf>
    <xf numFmtId="0" fontId="23" fillId="0" borderId="0" xfId="0" applyFont="1" applyAlignment="1">
      <alignment horizontal="left" vertical="center"/>
    </xf>
    <xf numFmtId="0" fontId="18" fillId="0" borderId="19" xfId="0" applyFont="1" applyBorder="1" applyAlignment="1">
      <alignment horizontal="left" vertical="center" wrapText="1"/>
    </xf>
    <xf numFmtId="0" fontId="0" fillId="0" borderId="50" xfId="0" applyBorder="1" applyAlignment="1">
      <alignment horizontal="left" vertical="center"/>
    </xf>
    <xf numFmtId="0" fontId="0" fillId="0" borderId="0" xfId="0" applyAlignment="1">
      <alignment horizontal="left" vertical="center" wrapText="1"/>
    </xf>
    <xf numFmtId="0" fontId="32" fillId="6" borderId="22" xfId="4" applyFont="1" applyFill="1" applyBorder="1" applyAlignment="1">
      <alignment horizontal="center" vertical="center" wrapText="1"/>
    </xf>
    <xf numFmtId="0" fontId="32" fillId="6" borderId="45" xfId="4" applyFont="1" applyFill="1" applyBorder="1" applyAlignment="1">
      <alignment horizontal="center" vertical="center" wrapText="1"/>
    </xf>
    <xf numFmtId="0" fontId="32" fillId="6" borderId="23" xfId="4" applyFont="1" applyFill="1" applyBorder="1" applyAlignment="1">
      <alignment horizontal="center" vertical="center" wrapText="1"/>
    </xf>
    <xf numFmtId="0" fontId="40" fillId="0" borderId="0" xfId="0" applyFont="1" applyAlignment="1">
      <alignment vertical="top" wrapText="1"/>
    </xf>
    <xf numFmtId="166" fontId="40" fillId="0" borderId="0" xfId="0" applyNumberFormat="1" applyFont="1" applyAlignment="1">
      <alignment horizontal="left" vertical="top" wrapText="1"/>
    </xf>
    <xf numFmtId="0" fontId="32" fillId="2" borderId="22" xfId="4" applyFont="1" applyFill="1" applyBorder="1" applyAlignment="1">
      <alignment horizontal="center" vertical="center" wrapText="1"/>
    </xf>
    <xf numFmtId="0" fontId="32" fillId="2" borderId="45" xfId="4" applyFont="1" applyFill="1" applyBorder="1" applyAlignment="1">
      <alignment horizontal="center" vertical="center" wrapText="1"/>
    </xf>
    <xf numFmtId="0" fontId="32" fillId="2" borderId="23" xfId="4" applyFont="1" applyFill="1" applyBorder="1" applyAlignment="1">
      <alignment horizontal="center" vertical="center" wrapText="1"/>
    </xf>
    <xf numFmtId="0" fontId="32" fillId="0" borderId="22" xfId="0" applyFont="1" applyBorder="1" applyAlignment="1">
      <alignment horizontal="center" vertical="center"/>
    </xf>
    <xf numFmtId="0" fontId="32" fillId="0" borderId="45" xfId="0" applyFont="1" applyBorder="1" applyAlignment="1">
      <alignment horizontal="center" vertical="center"/>
    </xf>
    <xf numFmtId="0" fontId="32" fillId="0" borderId="23" xfId="0" applyFont="1" applyBorder="1" applyAlignment="1">
      <alignment horizontal="center" vertical="center"/>
    </xf>
    <xf numFmtId="0" fontId="24" fillId="0" borderId="0" xfId="0" applyFont="1" applyAlignment="1">
      <alignment horizontal="right"/>
    </xf>
    <xf numFmtId="0" fontId="23" fillId="0" borderId="1" xfId="0" applyFont="1" applyBorder="1" applyAlignment="1">
      <alignment horizontal="center"/>
    </xf>
    <xf numFmtId="0" fontId="3" fillId="0" borderId="1" xfId="0" applyFont="1" applyBorder="1" applyAlignment="1">
      <alignment horizontal="center"/>
    </xf>
    <xf numFmtId="0" fontId="3" fillId="0" borderId="12" xfId="0" applyFont="1" applyBorder="1" applyAlignment="1">
      <alignment horizontal="center"/>
    </xf>
    <xf numFmtId="0" fontId="23" fillId="0" borderId="1" xfId="0" applyFont="1" applyBorder="1" applyAlignment="1">
      <alignment horizontal="center" wrapText="1"/>
    </xf>
    <xf numFmtId="0" fontId="24" fillId="0" borderId="1" xfId="0" applyFont="1" applyBorder="1" applyAlignment="1">
      <alignment horizontal="center"/>
    </xf>
    <xf numFmtId="0" fontId="24" fillId="0" borderId="12" xfId="0" applyFont="1" applyBorder="1" applyAlignment="1">
      <alignment horizontal="center" wrapText="1"/>
    </xf>
    <xf numFmtId="166" fontId="0" fillId="0" borderId="100" xfId="0" applyNumberFormat="1" applyBorder="1" applyAlignment="1">
      <alignment horizontal="center" vertical="center" wrapText="1"/>
    </xf>
    <xf numFmtId="166" fontId="0" fillId="0" borderId="9" xfId="0" applyNumberFormat="1" applyBorder="1" applyAlignment="1">
      <alignment horizontal="center" vertical="center" wrapText="1"/>
    </xf>
    <xf numFmtId="0" fontId="0" fillId="0" borderId="100" xfId="0" applyBorder="1" applyAlignment="1">
      <alignment horizontal="center" vertical="center"/>
    </xf>
    <xf numFmtId="0" fontId="0" fillId="0" borderId="9" xfId="0" applyBorder="1" applyAlignment="1">
      <alignment horizontal="center" vertical="center"/>
    </xf>
    <xf numFmtId="166" fontId="0" fillId="0" borderId="100" xfId="0" applyNumberFormat="1" applyBorder="1" applyAlignment="1">
      <alignment horizontal="center" vertical="center"/>
    </xf>
    <xf numFmtId="166" fontId="0" fillId="0" borderId="9" xfId="0" applyNumberFormat="1" applyBorder="1" applyAlignment="1">
      <alignment horizontal="center" vertical="center"/>
    </xf>
    <xf numFmtId="0" fontId="40" fillId="0" borderId="0" xfId="0" applyFont="1" applyAlignment="1">
      <alignment horizontal="left" vertical="top" wrapText="1"/>
    </xf>
    <xf numFmtId="10" fontId="23" fillId="0" borderId="0" xfId="0" applyNumberFormat="1" applyFont="1" applyAlignment="1">
      <alignment horizontal="right" vertical="center"/>
    </xf>
    <xf numFmtId="166" fontId="3" fillId="0" borderId="7" xfId="0" applyNumberFormat="1" applyFont="1" applyBorder="1" applyAlignment="1">
      <alignment horizontal="center" vertical="center"/>
    </xf>
    <xf numFmtId="166" fontId="3" fillId="0" borderId="52" xfId="0" applyNumberFormat="1" applyFont="1" applyBorder="1" applyAlignment="1">
      <alignment horizontal="center" vertical="center"/>
    </xf>
    <xf numFmtId="2" fontId="0" fillId="0" borderId="8" xfId="0" applyNumberFormat="1" applyBorder="1" applyAlignment="1">
      <alignment horizontal="center" vertical="center"/>
    </xf>
    <xf numFmtId="2" fontId="0" fillId="0" borderId="54" xfId="0" applyNumberFormat="1" applyBorder="1" applyAlignment="1">
      <alignment horizontal="center" vertical="center"/>
    </xf>
    <xf numFmtId="166" fontId="0" fillId="0" borderId="100" xfId="0" applyNumberFormat="1" applyBorder="1" applyAlignment="1">
      <alignment horizontal="right" vertical="center"/>
    </xf>
    <xf numFmtId="166" fontId="0" fillId="0" borderId="9" xfId="0" applyNumberFormat="1" applyBorder="1" applyAlignment="1">
      <alignment horizontal="right" vertical="center"/>
    </xf>
    <xf numFmtId="168" fontId="0" fillId="0" borderId="8" xfId="0" applyNumberFormat="1" applyBorder="1" applyAlignment="1">
      <alignment horizontal="right" vertical="center"/>
    </xf>
    <xf numFmtId="168" fontId="0" fillId="0" borderId="54" xfId="0" applyNumberFormat="1" applyBorder="1" applyAlignment="1">
      <alignment horizontal="right" vertical="center"/>
    </xf>
    <xf numFmtId="0" fontId="36" fillId="0" borderId="0" xfId="0" applyFont="1" applyAlignment="1">
      <alignment horizontal="left" vertical="top" wrapText="1"/>
    </xf>
    <xf numFmtId="0" fontId="40" fillId="0" borderId="64" xfId="0" applyFont="1" applyBorder="1" applyAlignment="1">
      <alignment horizontal="left" vertical="center" wrapText="1"/>
    </xf>
    <xf numFmtId="0" fontId="40" fillId="0" borderId="65" xfId="0" applyFont="1" applyBorder="1" applyAlignment="1">
      <alignment horizontal="left" vertical="center" wrapText="1"/>
    </xf>
    <xf numFmtId="0" fontId="40" fillId="0" borderId="66" xfId="0" applyFont="1" applyBorder="1" applyAlignment="1">
      <alignment horizontal="left" vertical="center" wrapText="1"/>
    </xf>
    <xf numFmtId="0" fontId="32" fillId="0" borderId="22" xfId="0" applyFont="1" applyBorder="1" applyAlignment="1">
      <alignment horizontal="center" vertical="center" wrapText="1"/>
    </xf>
    <xf numFmtId="0" fontId="32" fillId="0" borderId="45" xfId="0" applyFont="1" applyBorder="1" applyAlignment="1">
      <alignment horizontal="center" vertical="center" wrapText="1"/>
    </xf>
    <xf numFmtId="0" fontId="32" fillId="0" borderId="23" xfId="0" applyFont="1" applyBorder="1" applyAlignment="1">
      <alignment horizontal="center" vertical="center" wrapText="1"/>
    </xf>
    <xf numFmtId="0" fontId="40" fillId="0" borderId="74" xfId="0" applyFont="1" applyBorder="1" applyAlignment="1">
      <alignment horizontal="left" vertical="top" wrapText="1"/>
    </xf>
    <xf numFmtId="0" fontId="40" fillId="0" borderId="75" xfId="0" applyFont="1" applyBorder="1" applyAlignment="1">
      <alignment horizontal="left" vertical="top" wrapText="1"/>
    </xf>
    <xf numFmtId="0" fontId="40" fillId="0" borderId="76" xfId="0" applyFont="1" applyBorder="1" applyAlignment="1">
      <alignment horizontal="left" vertical="top" wrapText="1"/>
    </xf>
    <xf numFmtId="0" fontId="40" fillId="0" borderId="74" xfId="0" applyFont="1" applyBorder="1" applyAlignment="1">
      <alignment horizontal="left" vertical="center" wrapText="1"/>
    </xf>
    <xf numFmtId="0" fontId="40" fillId="0" borderId="75" xfId="0" applyFont="1" applyBorder="1" applyAlignment="1">
      <alignment horizontal="left" vertical="center" wrapText="1"/>
    </xf>
    <xf numFmtId="0" fontId="40" fillId="0" borderId="76" xfId="0" applyFont="1" applyBorder="1" applyAlignment="1">
      <alignment horizontal="left" vertical="center" wrapText="1"/>
    </xf>
    <xf numFmtId="0" fontId="24" fillId="0" borderId="1" xfId="0" applyFont="1" applyBorder="1" applyAlignment="1">
      <alignment horizontal="center" wrapText="1"/>
    </xf>
    <xf numFmtId="0" fontId="24" fillId="0" borderId="0" xfId="0" applyFont="1" applyAlignment="1">
      <alignment horizontal="left"/>
    </xf>
    <xf numFmtId="0" fontId="3" fillId="0" borderId="18" xfId="0" applyFont="1" applyBorder="1" applyAlignment="1">
      <alignment horizontal="center" wrapText="1"/>
    </xf>
    <xf numFmtId="0" fontId="55" fillId="0" borderId="30" xfId="0" applyFont="1" applyBorder="1" applyAlignment="1">
      <alignment horizontal="center" vertical="center"/>
    </xf>
    <xf numFmtId="17" fontId="55" fillId="0" borderId="30" xfId="0" quotePrefix="1" applyNumberFormat="1" applyFont="1" applyBorder="1" applyAlignment="1">
      <alignment horizontal="center" vertical="center"/>
    </xf>
    <xf numFmtId="177" fontId="5" fillId="4" borderId="0" xfId="0" applyNumberFormat="1" applyFont="1" applyFill="1" applyAlignment="1">
      <alignment horizontal="center"/>
    </xf>
    <xf numFmtId="0" fontId="0" fillId="0" borderId="28" xfId="0" applyBorder="1" applyAlignment="1">
      <alignment horizontal="center"/>
    </xf>
  </cellXfs>
  <cellStyles count="9">
    <cellStyle name="Euro" xfId="1" xr:uid="{00000000-0005-0000-0000-000000000000}"/>
    <cellStyle name="Euro 2" xfId="3" xr:uid="{00000000-0005-0000-0000-000001000000}"/>
    <cellStyle name="Euro 3" xfId="8" xr:uid="{00000000-0005-0000-0000-000002000000}"/>
    <cellStyle name="Monétaire_décompte2" xfId="6" xr:uid="{00000000-0005-0000-0000-000004000000}"/>
    <cellStyle name="Normal" xfId="0" builtinId="0"/>
    <cellStyle name="Normal 2" xfId="5" xr:uid="{00000000-0005-0000-0000-000006000000}"/>
    <cellStyle name="Normal 3" xfId="7" xr:uid="{00000000-0005-0000-0000-000007000000}"/>
    <cellStyle name="Normal_Planning type" xfId="4" xr:uid="{00000000-0005-0000-0000-000008000000}"/>
    <cellStyle name="Pourcentage 2" xfId="2" xr:uid="{00000000-0005-0000-0000-000009000000}"/>
  </cellStyles>
  <dxfs count="2">
    <dxf>
      <font>
        <color rgb="FFFF0000"/>
      </font>
    </dxf>
    <dxf>
      <font>
        <color rgb="FFFF0000"/>
      </font>
    </dxf>
  </dxfs>
  <tableStyles count="0" defaultTableStyle="TableStyleMedium9" defaultPivotStyle="PivotStyleLight16"/>
  <colors>
    <mruColors>
      <color rgb="FFFF00FF"/>
      <color rgb="FFFFFFCC"/>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975360</xdr:colOff>
      <xdr:row>8</xdr:row>
      <xdr:rowOff>152400</xdr:rowOff>
    </xdr:from>
    <xdr:ext cx="184731" cy="264560"/>
    <xdr:sp macro="" textlink="">
      <xdr:nvSpPr>
        <xdr:cNvPr id="2" name="ZoneTexte 1">
          <a:extLst>
            <a:ext uri="{FF2B5EF4-FFF2-40B4-BE49-F238E27FC236}">
              <a16:creationId xmlns:a16="http://schemas.microsoft.com/office/drawing/2014/main" id="{00000000-0008-0000-0A00-000002000000}"/>
            </a:ext>
          </a:extLst>
        </xdr:cNvPr>
        <xdr:cNvSpPr txBox="1"/>
      </xdr:nvSpPr>
      <xdr:spPr>
        <a:xfrm>
          <a:off x="6583680" y="1516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BE"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8"/>
  <sheetViews>
    <sheetView tabSelected="1" zoomScale="80" zoomScaleNormal="80" workbookViewId="0">
      <selection activeCell="C7" sqref="C6:C7"/>
    </sheetView>
  </sheetViews>
  <sheetFormatPr baseColWidth="10" defaultRowHeight="12.75" x14ac:dyDescent="0.2"/>
  <cols>
    <col min="1" max="1" width="3.7109375" style="35" customWidth="1"/>
    <col min="2" max="2" width="130.140625" customWidth="1"/>
    <col min="3" max="3" width="40.7109375" customWidth="1"/>
  </cols>
  <sheetData>
    <row r="1" spans="1:9" ht="15" customHeight="1" x14ac:dyDescent="0.2">
      <c r="B1" s="183" t="s">
        <v>89</v>
      </c>
      <c r="C1" s="416">
        <v>45919</v>
      </c>
    </row>
    <row r="2" spans="1:9" ht="15" customHeight="1" x14ac:dyDescent="0.2">
      <c r="B2" s="95"/>
    </row>
    <row r="3" spans="1:9" s="147" customFormat="1" ht="20.100000000000001" customHeight="1" x14ac:dyDescent="0.2">
      <c r="A3" s="200"/>
      <c r="B3" s="378" t="s">
        <v>63</v>
      </c>
      <c r="C3" s="22"/>
      <c r="D3" s="22"/>
      <c r="E3" s="22"/>
      <c r="F3" s="22"/>
      <c r="G3" s="22"/>
      <c r="H3" s="22"/>
      <c r="I3" s="22"/>
    </row>
    <row r="4" spans="1:9" s="56" customFormat="1" ht="54.75" customHeight="1" x14ac:dyDescent="0.2">
      <c r="A4" s="75"/>
      <c r="B4" s="417" t="s">
        <v>266</v>
      </c>
      <c r="C4"/>
      <c r="D4"/>
      <c r="E4"/>
      <c r="F4"/>
      <c r="G4"/>
      <c r="H4"/>
      <c r="I4"/>
    </row>
    <row r="5" spans="1:9" s="56" customFormat="1" x14ac:dyDescent="0.2">
      <c r="A5" s="75"/>
      <c r="B5" s="83"/>
      <c r="C5"/>
      <c r="D5"/>
      <c r="E5"/>
      <c r="F5"/>
      <c r="G5"/>
      <c r="H5"/>
      <c r="I5"/>
    </row>
    <row r="6" spans="1:9" s="281" customFormat="1" ht="22.5" customHeight="1" x14ac:dyDescent="0.2">
      <c r="A6" s="279" t="s">
        <v>61</v>
      </c>
      <c r="B6" s="280" t="s">
        <v>208</v>
      </c>
    </row>
    <row r="7" spans="1:9" s="80" customFormat="1" ht="240" customHeight="1" x14ac:dyDescent="0.25">
      <c r="A7" s="79"/>
      <c r="B7" s="236" t="s">
        <v>267</v>
      </c>
    </row>
    <row r="8" spans="1:9" s="80" customFormat="1" ht="15" customHeight="1" x14ac:dyDescent="0.25">
      <c r="A8" s="79"/>
      <c r="B8" s="60"/>
    </row>
    <row r="9" spans="1:9" s="281" customFormat="1" ht="22.5" customHeight="1" x14ac:dyDescent="0.2">
      <c r="A9" s="279" t="s">
        <v>62</v>
      </c>
      <c r="B9" s="280" t="s">
        <v>165</v>
      </c>
    </row>
    <row r="10" spans="1:9" s="77" customFormat="1" ht="15" customHeight="1" x14ac:dyDescent="0.2">
      <c r="A10" s="58" t="s">
        <v>44</v>
      </c>
      <c r="B10" s="76" t="s">
        <v>64</v>
      </c>
    </row>
    <row r="11" spans="1:9" s="77" customFormat="1" ht="15" customHeight="1" x14ac:dyDescent="0.2">
      <c r="A11" s="81" t="s">
        <v>41</v>
      </c>
      <c r="B11" s="277" t="s">
        <v>162</v>
      </c>
    </row>
    <row r="12" spans="1:9" s="77" customFormat="1" ht="15" customHeight="1" x14ac:dyDescent="0.2">
      <c r="A12" s="81" t="s">
        <v>41</v>
      </c>
      <c r="B12" s="78" t="s">
        <v>164</v>
      </c>
    </row>
    <row r="13" spans="1:9" s="77" customFormat="1" ht="15" customHeight="1" x14ac:dyDescent="0.2">
      <c r="A13" s="58" t="s">
        <v>44</v>
      </c>
      <c r="B13" s="76" t="s">
        <v>65</v>
      </c>
    </row>
    <row r="14" spans="1:9" s="77" customFormat="1" ht="78.75" customHeight="1" x14ac:dyDescent="0.2">
      <c r="A14" s="58"/>
      <c r="B14" s="344" t="s">
        <v>211</v>
      </c>
    </row>
    <row r="15" spans="1:9" s="77" customFormat="1" ht="25.5" x14ac:dyDescent="0.2">
      <c r="A15" s="58" t="s">
        <v>44</v>
      </c>
      <c r="B15" s="343" t="s">
        <v>210</v>
      </c>
    </row>
    <row r="16" spans="1:9" s="77" customFormat="1" ht="25.5" x14ac:dyDescent="0.2">
      <c r="A16" s="81" t="s">
        <v>41</v>
      </c>
      <c r="B16" s="78" t="s">
        <v>163</v>
      </c>
    </row>
    <row r="17" spans="1:3" s="77" customFormat="1" x14ac:dyDescent="0.2">
      <c r="A17" s="81" t="s">
        <v>41</v>
      </c>
      <c r="B17" s="78" t="s">
        <v>45</v>
      </c>
    </row>
    <row r="18" spans="1:3" s="77" customFormat="1" ht="59.25" customHeight="1" x14ac:dyDescent="0.2">
      <c r="A18" s="57"/>
      <c r="B18" s="278" t="s">
        <v>66</v>
      </c>
    </row>
    <row r="19" spans="1:3" s="77" customFormat="1" ht="38.25" x14ac:dyDescent="0.2">
      <c r="A19" s="58" t="s">
        <v>44</v>
      </c>
      <c r="B19" s="343" t="s">
        <v>268</v>
      </c>
    </row>
    <row r="20" spans="1:3" s="80" customFormat="1" ht="15" customHeight="1" x14ac:dyDescent="0.25">
      <c r="A20" s="79"/>
      <c r="B20" s="60"/>
      <c r="C20" s="77"/>
    </row>
    <row r="21" spans="1:3" s="281" customFormat="1" ht="22.5" customHeight="1" x14ac:dyDescent="0.2">
      <c r="A21" s="279" t="s">
        <v>67</v>
      </c>
      <c r="B21" s="280" t="s">
        <v>209</v>
      </c>
      <c r="C21" s="77"/>
    </row>
    <row r="22" spans="1:3" ht="21.75" customHeight="1" x14ac:dyDescent="0.2">
      <c r="C22" s="77"/>
    </row>
    <row r="23" spans="1:3" x14ac:dyDescent="0.2">
      <c r="C23" s="77"/>
    </row>
    <row r="24" spans="1:3" x14ac:dyDescent="0.2">
      <c r="C24" s="77"/>
    </row>
    <row r="28" spans="1:3" x14ac:dyDescent="0.2">
      <c r="B28" s="35"/>
    </row>
  </sheetData>
  <pageMargins left="0.70866141732283472" right="0.70866141732283472" top="0.74803149606299213" bottom="0.74803149606299213" header="0.31496062992125984" footer="0.31496062992125984"/>
  <pageSetup paperSize="9" scale="96" orientation="portrait" horizontalDpi="300" verticalDpi="3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87"/>
  <sheetViews>
    <sheetView zoomScale="80" zoomScaleNormal="80" workbookViewId="0">
      <selection activeCell="F48" sqref="F48"/>
    </sheetView>
  </sheetViews>
  <sheetFormatPr baseColWidth="10" defaultColWidth="27.5703125" defaultRowHeight="20.25" outlineLevelRow="1" x14ac:dyDescent="0.3"/>
  <cols>
    <col min="1" max="1" width="2.42578125" customWidth="1"/>
    <col min="2" max="7" width="14.7109375" style="25" customWidth="1"/>
    <col min="8" max="8" width="22.42578125" style="25" customWidth="1"/>
    <col min="9" max="9" width="14.7109375" style="25" customWidth="1"/>
    <col min="10" max="10" width="20.7109375" style="25" customWidth="1"/>
    <col min="11" max="12" width="14.7109375" style="25" customWidth="1"/>
    <col min="13" max="13" width="3.5703125" customWidth="1"/>
    <col min="14" max="15" width="22.7109375" style="390" customWidth="1"/>
    <col min="16" max="16384" width="27.5703125" style="25"/>
  </cols>
  <sheetData>
    <row r="1" spans="1:15" customFormat="1" ht="15" x14ac:dyDescent="0.2">
      <c r="B1" s="80" t="str">
        <f>'Budget global'!B1</f>
        <v>VILLE_Projet de xxxxxxxxxxxxxxxxxxxxxxxxxxxxxxxxxxxxxx</v>
      </c>
      <c r="K1" s="36" t="s">
        <v>90</v>
      </c>
      <c r="L1" s="82" t="str">
        <f>'Budget global'!D1</f>
        <v>XX-XX-XXXX</v>
      </c>
      <c r="M1" s="82"/>
    </row>
    <row r="2" spans="1:15" customFormat="1" ht="15" customHeight="1" thickBot="1" x14ac:dyDescent="0.25">
      <c r="B2" s="35"/>
      <c r="C2" s="95"/>
      <c r="D2" s="96"/>
      <c r="N2" s="214"/>
      <c r="O2" s="214"/>
    </row>
    <row r="3" spans="1:15" s="192" customFormat="1" ht="20.100000000000001" customHeight="1" thickBot="1" x14ac:dyDescent="0.25">
      <c r="B3" s="459" t="s">
        <v>119</v>
      </c>
      <c r="C3" s="460"/>
      <c r="D3" s="460"/>
      <c r="E3" s="460"/>
      <c r="F3" s="460"/>
      <c r="G3" s="460"/>
      <c r="H3" s="460"/>
      <c r="I3" s="460"/>
      <c r="J3" s="460"/>
      <c r="K3" s="460"/>
      <c r="L3" s="461"/>
      <c r="M3" s="382"/>
      <c r="N3" s="244"/>
      <c r="O3" s="244"/>
    </row>
    <row r="4" spans="1:15" s="22" customFormat="1" ht="20.100000000000001" customHeight="1" thickBot="1" x14ac:dyDescent="0.25">
      <c r="B4" s="500" t="s">
        <v>123</v>
      </c>
      <c r="C4" s="501"/>
      <c r="D4" s="501"/>
      <c r="E4" s="501"/>
      <c r="F4" s="501"/>
      <c r="G4" s="501"/>
      <c r="H4" s="501"/>
      <c r="I4" s="501"/>
      <c r="J4" s="501"/>
      <c r="K4" s="501"/>
      <c r="L4" s="502"/>
      <c r="M4" s="383"/>
      <c r="N4" s="215"/>
      <c r="O4" s="215"/>
    </row>
    <row r="5" spans="1:15" s="214" customFormat="1" ht="13.5" thickBot="1" x14ac:dyDescent="0.25">
      <c r="B5" s="245"/>
      <c r="C5" s="245"/>
      <c r="D5" s="245"/>
      <c r="E5" s="245"/>
      <c r="F5" s="245"/>
      <c r="G5" s="245"/>
      <c r="H5" s="245"/>
      <c r="I5" s="245"/>
      <c r="J5" s="245"/>
      <c r="K5" s="245"/>
      <c r="N5" s="100"/>
    </row>
    <row r="6" spans="1:15" s="214" customFormat="1" ht="12.75" customHeight="1" thickBot="1" x14ac:dyDescent="0.25">
      <c r="B6" s="508" t="s">
        <v>0</v>
      </c>
      <c r="C6" s="508"/>
      <c r="D6" s="508"/>
      <c r="E6" s="508"/>
      <c r="F6" s="508"/>
      <c r="G6" s="508"/>
      <c r="H6" s="508"/>
      <c r="I6" s="508"/>
      <c r="J6" s="508"/>
      <c r="K6" s="539" t="s">
        <v>18</v>
      </c>
      <c r="L6" s="539"/>
      <c r="M6" s="384"/>
      <c r="N6" s="540" t="s">
        <v>149</v>
      </c>
      <c r="O6" s="540"/>
    </row>
    <row r="7" spans="1:15" s="214" customFormat="1" ht="26.25" thickBot="1" x14ac:dyDescent="0.25">
      <c r="A7" s="246"/>
      <c r="B7" s="504" t="s">
        <v>1</v>
      </c>
      <c r="C7" s="504"/>
      <c r="D7" s="247" t="s">
        <v>125</v>
      </c>
      <c r="E7" s="247" t="s">
        <v>126</v>
      </c>
      <c r="F7" s="247" t="s">
        <v>127</v>
      </c>
      <c r="G7" s="248" t="s">
        <v>128</v>
      </c>
      <c r="H7" s="247" t="s">
        <v>129</v>
      </c>
      <c r="I7" s="249" t="s">
        <v>2</v>
      </c>
      <c r="J7" s="250" t="s">
        <v>3</v>
      </c>
      <c r="K7" s="539"/>
      <c r="L7" s="539"/>
      <c r="M7" s="385"/>
    </row>
    <row r="8" spans="1:15" s="214" customFormat="1" ht="12.75" customHeight="1" thickBot="1" x14ac:dyDescent="0.25">
      <c r="A8" s="238"/>
      <c r="B8" s="507" t="s">
        <v>4</v>
      </c>
      <c r="C8" s="507"/>
      <c r="D8" s="251">
        <v>0.15</v>
      </c>
      <c r="E8" s="252">
        <v>0.13500000000000001</v>
      </c>
      <c r="F8" s="253">
        <v>0.12</v>
      </c>
      <c r="G8" s="252">
        <v>0.105</v>
      </c>
      <c r="H8" s="252">
        <v>0.09</v>
      </c>
      <c r="I8" s="253">
        <v>0.09</v>
      </c>
      <c r="J8" s="254"/>
      <c r="K8" s="268"/>
      <c r="L8" s="256" t="s">
        <v>5</v>
      </c>
      <c r="M8" s="386"/>
    </row>
    <row r="9" spans="1:15" s="214" customFormat="1" ht="13.5" thickBot="1" x14ac:dyDescent="0.25">
      <c r="A9" s="238"/>
      <c r="B9" s="257" t="s">
        <v>6</v>
      </c>
      <c r="C9" s="267">
        <f>'Budget global'!G68</f>
        <v>2370000</v>
      </c>
      <c r="D9" s="258">
        <f>IF($C9&gt;$B$12,$B$12*$D$8,$C9*$D$8)</f>
        <v>33000</v>
      </c>
      <c r="E9" s="259">
        <f>IF($C9&gt;$B$13,($B$13-$B$12)*$E$8,IF($C9&gt;$B$12,($C9-$B$12)*$E$8,0))</f>
        <v>71550</v>
      </c>
      <c r="F9" s="259">
        <f>IF($C9&gt;$B$14,($B$14-$B$13)*$F$8,IF($C9&gt;$B$13,($C9-$B$13)*$F$8,0))</f>
        <v>138000</v>
      </c>
      <c r="G9" s="259">
        <f>IF($C9&gt;$B$15,($B$15-$B$14)*$G$8,IF($C9&gt;$B$14,($C9-$B$14)*$G$8,0))</f>
        <v>49350</v>
      </c>
      <c r="H9" s="259">
        <f>IF($C9&gt;$B$16,($B$16-$B$15)*$H$8,IF($C9&gt;$B$15,($C9-$B$15)*$H$8,0))</f>
        <v>0</v>
      </c>
      <c r="I9" s="259">
        <f>IF($C9&gt;$B$16,($C9-$B$16)*$I$8,0)</f>
        <v>0</v>
      </c>
      <c r="J9" s="260">
        <f>SUM(D9:I9)</f>
        <v>291900</v>
      </c>
      <c r="K9" s="269">
        <f>(C9*L9)/100</f>
        <v>291900</v>
      </c>
      <c r="L9" s="262">
        <f>(J9/C9)*100</f>
        <v>12.316455696202532</v>
      </c>
      <c r="M9" s="264"/>
      <c r="N9" s="263">
        <f>L9*O75</f>
        <v>0.12279646165002479</v>
      </c>
    </row>
    <row r="10" spans="1:15" s="214" customFormat="1" ht="12.75" x14ac:dyDescent="0.2">
      <c r="A10" s="238"/>
      <c r="C10" s="214" t="s">
        <v>145</v>
      </c>
      <c r="J10" s="100" t="s">
        <v>203</v>
      </c>
      <c r="K10" s="340">
        <v>0</v>
      </c>
      <c r="L10" s="341">
        <f>K10/C9*100</f>
        <v>0</v>
      </c>
      <c r="M10" s="341"/>
      <c r="N10" s="263">
        <f>L10*O75</f>
        <v>0</v>
      </c>
    </row>
    <row r="11" spans="1:15" s="214" customFormat="1" ht="12.75" x14ac:dyDescent="0.2">
      <c r="A11" s="238"/>
      <c r="J11" s="319" t="s">
        <v>204</v>
      </c>
      <c r="K11" s="340">
        <v>0</v>
      </c>
      <c r="L11" s="341">
        <v>0</v>
      </c>
      <c r="M11" s="341"/>
      <c r="N11" s="263">
        <f>L11*O75</f>
        <v>0</v>
      </c>
    </row>
    <row r="12" spans="1:15" s="214" customFormat="1" ht="12.75" hidden="1" outlineLevel="1" x14ac:dyDescent="0.2">
      <c r="A12" s="238"/>
      <c r="B12" s="214">
        <v>220000</v>
      </c>
      <c r="C12" s="264"/>
      <c r="F12" s="264"/>
      <c r="G12" s="264"/>
    </row>
    <row r="13" spans="1:15" s="214" customFormat="1" ht="12.75" hidden="1" outlineLevel="1" x14ac:dyDescent="0.2">
      <c r="A13" s="238"/>
      <c r="B13" s="214">
        <v>750000</v>
      </c>
    </row>
    <row r="14" spans="1:15" s="214" customFormat="1" ht="12.75" hidden="1" outlineLevel="1" x14ac:dyDescent="0.2">
      <c r="A14" s="238"/>
      <c r="B14" s="214">
        <v>1900000</v>
      </c>
    </row>
    <row r="15" spans="1:15" s="214" customFormat="1" ht="12.75" hidden="1" outlineLevel="1" x14ac:dyDescent="0.2">
      <c r="A15" s="238"/>
      <c r="B15" s="214">
        <v>7500000</v>
      </c>
    </row>
    <row r="16" spans="1:15" s="214" customFormat="1" ht="12.75" hidden="1" outlineLevel="1" x14ac:dyDescent="0.2">
      <c r="A16" s="238"/>
      <c r="B16" s="214">
        <v>22600000</v>
      </c>
    </row>
    <row r="17" spans="1:15" s="214" customFormat="1" ht="13.5" collapsed="1" thickBot="1" x14ac:dyDescent="0.25">
      <c r="A17" s="238"/>
      <c r="B17" s="275"/>
      <c r="C17" s="275"/>
      <c r="D17" s="275"/>
      <c r="E17" s="275"/>
      <c r="M17"/>
    </row>
    <row r="18" spans="1:15" customFormat="1" ht="12.75" customHeight="1" thickBot="1" x14ac:dyDescent="0.25">
      <c r="A18" s="1"/>
      <c r="B18" s="505" t="s">
        <v>70</v>
      </c>
      <c r="C18" s="505"/>
      <c r="D18" s="505"/>
      <c r="E18" s="505"/>
      <c r="G18" s="505" t="s">
        <v>71</v>
      </c>
      <c r="H18" s="505"/>
      <c r="I18" s="505"/>
      <c r="J18" s="505"/>
      <c r="K18" s="541" t="s">
        <v>19</v>
      </c>
      <c r="L18" s="541"/>
      <c r="M18" s="387"/>
      <c r="N18" s="214"/>
      <c r="O18" s="214"/>
    </row>
    <row r="19" spans="1:15" customFormat="1" ht="26.25" thickBot="1" x14ac:dyDescent="0.25">
      <c r="A19" s="1"/>
      <c r="B19" s="31" t="s">
        <v>50</v>
      </c>
      <c r="C19" s="20" t="s">
        <v>279</v>
      </c>
      <c r="D19" s="20" t="s">
        <v>8</v>
      </c>
      <c r="E19" s="21" t="s">
        <v>9</v>
      </c>
      <c r="F19" s="22"/>
      <c r="G19" s="31" t="s">
        <v>50</v>
      </c>
      <c r="H19" s="59" t="s">
        <v>279</v>
      </c>
      <c r="I19" s="21" t="s">
        <v>8</v>
      </c>
      <c r="J19" s="21" t="s">
        <v>9</v>
      </c>
      <c r="K19" s="23" t="s">
        <v>17</v>
      </c>
      <c r="L19" s="24" t="s">
        <v>5</v>
      </c>
      <c r="N19" s="274" t="s">
        <v>21</v>
      </c>
      <c r="O19" s="274" t="s">
        <v>22</v>
      </c>
    </row>
    <row r="20" spans="1:15" customFormat="1" ht="13.5" thickBot="1" x14ac:dyDescent="0.25">
      <c r="A20" s="1"/>
      <c r="B20" s="510">
        <f>C9</f>
        <v>2370000</v>
      </c>
      <c r="C20" s="425">
        <v>0.2</v>
      </c>
      <c r="D20" s="512">
        <f>VLOOKUP(C21,B24:C62,2,TRUE)</f>
        <v>13.12</v>
      </c>
      <c r="E20" s="522">
        <f>(C21*D20)/100</f>
        <v>62188.800000000003</v>
      </c>
      <c r="G20" s="510">
        <f>C9</f>
        <v>2370000</v>
      </c>
      <c r="H20" s="425">
        <v>0.25</v>
      </c>
      <c r="I20" s="512">
        <f>VLOOKUP(H21,G24:H62,2,TRUE)</f>
        <v>12.06</v>
      </c>
      <c r="J20" s="522">
        <f>(H21*I20)/100</f>
        <v>71455.5</v>
      </c>
      <c r="K20" s="518">
        <f>J20+E20</f>
        <v>133644.29999999999</v>
      </c>
      <c r="L20" s="524">
        <f>(K20/C9)*100</f>
        <v>5.6389999999999993</v>
      </c>
      <c r="M20" s="14"/>
      <c r="N20" s="517">
        <f>D22*O75*100</f>
        <v>2.6161577917989252E-2</v>
      </c>
      <c r="O20" s="517">
        <f>I22*O75*100</f>
        <v>3.005989231049451E-2</v>
      </c>
    </row>
    <row r="21" spans="1:15" customFormat="1" ht="13.5" thickBot="1" x14ac:dyDescent="0.25">
      <c r="A21" s="1"/>
      <c r="B21" s="511"/>
      <c r="C21" s="3">
        <f>B20*C20</f>
        <v>474000</v>
      </c>
      <c r="D21" s="513"/>
      <c r="E21" s="523"/>
      <c r="G21" s="511"/>
      <c r="H21" s="3">
        <f>G20*H20</f>
        <v>592500</v>
      </c>
      <c r="I21" s="513"/>
      <c r="J21" s="523"/>
      <c r="K21" s="519"/>
      <c r="L21" s="525"/>
      <c r="M21" s="14"/>
      <c r="N21" s="517"/>
      <c r="O21" s="517"/>
    </row>
    <row r="22" spans="1:15" customFormat="1" ht="12.75" x14ac:dyDescent="0.2">
      <c r="A22" s="1"/>
      <c r="B22" s="26"/>
      <c r="C22" s="13" t="s">
        <v>20</v>
      </c>
      <c r="D22" s="28">
        <f>E20/C9</f>
        <v>2.6240000000000003E-2</v>
      </c>
      <c r="E22" s="13"/>
      <c r="G22" s="26"/>
      <c r="H22" s="13" t="s">
        <v>20</v>
      </c>
      <c r="I22" s="28">
        <f>J20/C9</f>
        <v>3.015E-2</v>
      </c>
      <c r="J22" s="13"/>
      <c r="K22" s="27"/>
      <c r="L22" s="14"/>
      <c r="M22" s="14"/>
      <c r="N22" s="214"/>
      <c r="O22" s="214"/>
    </row>
    <row r="23" spans="1:15" customFormat="1" ht="15" customHeight="1" x14ac:dyDescent="0.2">
      <c r="A23" s="1"/>
      <c r="N23" s="214"/>
      <c r="O23" s="214"/>
    </row>
    <row r="24" spans="1:15" customFormat="1" ht="13.5" hidden="1" outlineLevel="1" thickBot="1" x14ac:dyDescent="0.25">
      <c r="A24" s="1"/>
      <c r="B24" s="5" t="s">
        <v>10</v>
      </c>
      <c r="C24" s="6" t="s">
        <v>16</v>
      </c>
      <c r="G24" s="5" t="s">
        <v>10</v>
      </c>
      <c r="H24" s="6" t="s">
        <v>11</v>
      </c>
      <c r="N24" s="214"/>
      <c r="O24" s="214"/>
    </row>
    <row r="25" spans="1:15" customFormat="1" ht="12.75" hidden="1" outlineLevel="1" x14ac:dyDescent="0.2">
      <c r="A25" s="1"/>
      <c r="B25" s="29">
        <v>0</v>
      </c>
      <c r="C25" s="2">
        <v>16.21</v>
      </c>
      <c r="G25" s="30">
        <v>0</v>
      </c>
      <c r="H25" s="2">
        <v>15.13</v>
      </c>
      <c r="N25" s="214"/>
      <c r="O25" s="214"/>
    </row>
    <row r="26" spans="1:15" customFormat="1" ht="12.75" hidden="1" outlineLevel="1" x14ac:dyDescent="0.2">
      <c r="A26" s="1"/>
      <c r="B26" s="7">
        <v>100000</v>
      </c>
      <c r="C26" s="2">
        <v>16.21</v>
      </c>
      <c r="G26" s="8">
        <v>100000</v>
      </c>
      <c r="H26" s="2">
        <v>15.13</v>
      </c>
      <c r="N26" s="214"/>
      <c r="O26" s="214"/>
    </row>
    <row r="27" spans="1:15" customFormat="1" ht="12.75" hidden="1" outlineLevel="1" x14ac:dyDescent="0.2">
      <c r="A27" s="1"/>
      <c r="B27" s="8">
        <v>125000</v>
      </c>
      <c r="C27" s="2">
        <v>15.71</v>
      </c>
      <c r="G27" s="8">
        <v>125000</v>
      </c>
      <c r="H27" s="2">
        <v>14.66</v>
      </c>
      <c r="N27" s="214"/>
      <c r="O27" s="214"/>
    </row>
    <row r="28" spans="1:15" customFormat="1" ht="12.75" hidden="1" outlineLevel="1" x14ac:dyDescent="0.2">
      <c r="A28" s="1"/>
      <c r="B28" s="8">
        <v>150000</v>
      </c>
      <c r="C28" s="2">
        <v>15.31</v>
      </c>
      <c r="G28" s="8">
        <v>150000</v>
      </c>
      <c r="H28" s="2">
        <v>14.29</v>
      </c>
      <c r="N28" s="214"/>
      <c r="O28" s="214"/>
    </row>
    <row r="29" spans="1:15" customFormat="1" ht="12.75" hidden="1" outlineLevel="1" x14ac:dyDescent="0.2">
      <c r="A29" s="1"/>
      <c r="B29" s="8">
        <v>175000</v>
      </c>
      <c r="C29" s="2">
        <v>14.98</v>
      </c>
      <c r="G29" s="8">
        <v>175000</v>
      </c>
      <c r="H29" s="2">
        <v>13.98</v>
      </c>
      <c r="N29" s="214"/>
      <c r="O29" s="214"/>
    </row>
    <row r="30" spans="1:15" customFormat="1" ht="12.75" hidden="1" outlineLevel="1" x14ac:dyDescent="0.2">
      <c r="A30" s="1"/>
      <c r="B30" s="8">
        <v>200000</v>
      </c>
      <c r="C30" s="2">
        <v>14.7</v>
      </c>
      <c r="G30" s="8">
        <v>200000</v>
      </c>
      <c r="H30" s="2">
        <v>13.72</v>
      </c>
      <c r="N30" s="214"/>
      <c r="O30" s="214"/>
    </row>
    <row r="31" spans="1:15" customFormat="1" ht="12.75" hidden="1" outlineLevel="1" x14ac:dyDescent="0.2">
      <c r="A31" s="1"/>
      <c r="B31" s="8">
        <v>225000</v>
      </c>
      <c r="C31" s="2">
        <v>14.46</v>
      </c>
      <c r="G31" s="8">
        <v>225000</v>
      </c>
      <c r="H31" s="2">
        <v>13.5</v>
      </c>
      <c r="N31" s="214"/>
      <c r="O31" s="214"/>
    </row>
    <row r="32" spans="1:15" customFormat="1" ht="12.75" hidden="1" outlineLevel="1" x14ac:dyDescent="0.2">
      <c r="A32" s="1"/>
      <c r="B32" s="8">
        <v>250000</v>
      </c>
      <c r="C32" s="2">
        <v>14.25</v>
      </c>
      <c r="G32" s="8">
        <v>250000</v>
      </c>
      <c r="H32" s="2">
        <v>13.3</v>
      </c>
      <c r="N32" s="214"/>
      <c r="O32" s="214"/>
    </row>
    <row r="33" spans="1:15" customFormat="1" ht="12.75" hidden="1" outlineLevel="1" x14ac:dyDescent="0.2">
      <c r="A33" s="1"/>
      <c r="B33" s="8">
        <v>300000</v>
      </c>
      <c r="C33" s="2">
        <v>13.89</v>
      </c>
      <c r="G33" s="8">
        <v>300000</v>
      </c>
      <c r="H33" s="2">
        <v>12.96</v>
      </c>
      <c r="N33" s="214"/>
      <c r="O33" s="214"/>
    </row>
    <row r="34" spans="1:15" customFormat="1" ht="12.75" hidden="1" outlineLevel="1" x14ac:dyDescent="0.2">
      <c r="A34" s="1"/>
      <c r="B34" s="8">
        <v>350000</v>
      </c>
      <c r="C34" s="2">
        <v>13.59</v>
      </c>
      <c r="G34" s="8">
        <v>350000</v>
      </c>
      <c r="H34" s="2">
        <v>12.68</v>
      </c>
      <c r="N34" s="214"/>
      <c r="O34" s="214"/>
    </row>
    <row r="35" spans="1:15" customFormat="1" ht="12.75" hidden="1" outlineLevel="1" x14ac:dyDescent="0.2">
      <c r="A35" s="1"/>
      <c r="B35" s="8">
        <v>400000</v>
      </c>
      <c r="C35" s="2">
        <v>13.34</v>
      </c>
      <c r="G35" s="8">
        <v>400000</v>
      </c>
      <c r="H35" s="2">
        <v>12.45</v>
      </c>
      <c r="N35" s="214"/>
      <c r="O35" s="214"/>
    </row>
    <row r="36" spans="1:15" customFormat="1" ht="12.75" hidden="1" outlineLevel="1" x14ac:dyDescent="0.2">
      <c r="A36" s="1"/>
      <c r="B36" s="8">
        <v>450000</v>
      </c>
      <c r="C36" s="2">
        <v>13.12</v>
      </c>
      <c r="G36" s="8">
        <v>450000</v>
      </c>
      <c r="H36" s="2">
        <v>12.24</v>
      </c>
      <c r="N36" s="214"/>
      <c r="O36" s="214"/>
    </row>
    <row r="37" spans="1:15" customFormat="1" ht="12.75" hidden="1" outlineLevel="1" x14ac:dyDescent="0.2">
      <c r="A37" s="1"/>
      <c r="B37" s="8">
        <v>500000</v>
      </c>
      <c r="C37" s="2">
        <v>12.92</v>
      </c>
      <c r="G37" s="8">
        <v>500000</v>
      </c>
      <c r="H37" s="2">
        <v>12.06</v>
      </c>
      <c r="N37" s="214"/>
      <c r="O37" s="214"/>
    </row>
    <row r="38" spans="1:15" customFormat="1" ht="12.75" hidden="1" outlineLevel="1" x14ac:dyDescent="0.2">
      <c r="A38" s="1"/>
      <c r="B38" s="8">
        <v>600000</v>
      </c>
      <c r="C38" s="2">
        <v>12.6</v>
      </c>
      <c r="G38" s="8">
        <v>600000</v>
      </c>
      <c r="H38" s="2">
        <v>11.76</v>
      </c>
      <c r="N38" s="214"/>
      <c r="O38" s="214"/>
    </row>
    <row r="39" spans="1:15" customFormat="1" ht="12.75" hidden="1" outlineLevel="1" x14ac:dyDescent="0.2">
      <c r="A39" s="1"/>
      <c r="B39" s="8">
        <v>700000</v>
      </c>
      <c r="C39" s="2">
        <v>12.33</v>
      </c>
      <c r="G39" s="8">
        <v>700000</v>
      </c>
      <c r="H39" s="2">
        <v>11.51</v>
      </c>
      <c r="N39" s="214"/>
      <c r="O39" s="214"/>
    </row>
    <row r="40" spans="1:15" customFormat="1" ht="12.75" hidden="1" outlineLevel="1" x14ac:dyDescent="0.2">
      <c r="A40" s="1"/>
      <c r="B40" s="8">
        <v>800000</v>
      </c>
      <c r="C40" s="2">
        <v>12.1</v>
      </c>
      <c r="G40" s="8">
        <v>800000</v>
      </c>
      <c r="H40" s="2">
        <v>11.29</v>
      </c>
      <c r="N40" s="214"/>
      <c r="O40" s="214"/>
    </row>
    <row r="41" spans="1:15" customFormat="1" ht="12.75" hidden="1" outlineLevel="1" x14ac:dyDescent="0.2">
      <c r="A41" s="1"/>
      <c r="B41" s="8">
        <v>900000</v>
      </c>
      <c r="C41" s="2">
        <v>11.9</v>
      </c>
      <c r="G41" s="8">
        <v>900000</v>
      </c>
      <c r="H41" s="2">
        <v>11.11</v>
      </c>
      <c r="N41" s="214"/>
      <c r="O41" s="214"/>
    </row>
    <row r="42" spans="1:15" customFormat="1" ht="12.75" hidden="1" outlineLevel="1" x14ac:dyDescent="0.2">
      <c r="A42" s="1"/>
      <c r="B42" s="8">
        <v>1000000</v>
      </c>
      <c r="C42" s="2">
        <v>11.72</v>
      </c>
      <c r="G42" s="8">
        <v>1000000</v>
      </c>
      <c r="H42" s="2">
        <v>10.94</v>
      </c>
      <c r="N42" s="214"/>
      <c r="O42" s="214"/>
    </row>
    <row r="43" spans="1:15" customFormat="1" ht="12.75" hidden="1" outlineLevel="1" x14ac:dyDescent="0.2">
      <c r="A43" s="1"/>
      <c r="B43" s="8">
        <v>1250000</v>
      </c>
      <c r="C43" s="2">
        <v>11.36</v>
      </c>
      <c r="G43" s="8">
        <v>1250000</v>
      </c>
      <c r="H43" s="2">
        <v>10.6</v>
      </c>
      <c r="N43" s="214"/>
      <c r="O43" s="214"/>
    </row>
    <row r="44" spans="1:15" customFormat="1" ht="12.75" hidden="1" outlineLevel="1" x14ac:dyDescent="0.2">
      <c r="A44" s="1"/>
      <c r="B44" s="8">
        <v>1500000</v>
      </c>
      <c r="C44" s="2">
        <v>11.07</v>
      </c>
      <c r="G44" s="8">
        <v>1500000</v>
      </c>
      <c r="H44" s="2">
        <v>10.34</v>
      </c>
      <c r="N44" s="214"/>
      <c r="O44" s="214"/>
    </row>
    <row r="45" spans="1:15" customFormat="1" ht="12.75" hidden="1" outlineLevel="1" x14ac:dyDescent="0.2">
      <c r="A45" s="1"/>
      <c r="B45" s="8">
        <v>1750000</v>
      </c>
      <c r="C45" s="2">
        <v>10.84</v>
      </c>
      <c r="G45" s="8">
        <v>1750000</v>
      </c>
      <c r="H45" s="2">
        <v>10.11</v>
      </c>
      <c r="N45" s="214"/>
      <c r="O45" s="214"/>
    </row>
    <row r="46" spans="1:15" customFormat="1" ht="12.75" hidden="1" outlineLevel="1" x14ac:dyDescent="0.2">
      <c r="B46" s="8">
        <v>2000000</v>
      </c>
      <c r="C46" s="2">
        <v>10.63</v>
      </c>
      <c r="G46" s="8">
        <v>2000000</v>
      </c>
      <c r="H46" s="2">
        <v>9.93</v>
      </c>
      <c r="N46" s="214"/>
      <c r="O46" s="214"/>
    </row>
    <row r="47" spans="1:15" customFormat="1" ht="12.75" hidden="1" outlineLevel="1" x14ac:dyDescent="0.2">
      <c r="B47" s="8">
        <v>2250000</v>
      </c>
      <c r="C47" s="2">
        <v>10.46</v>
      </c>
      <c r="G47" s="8">
        <v>2250000</v>
      </c>
      <c r="H47" s="2">
        <v>9.76</v>
      </c>
      <c r="N47" s="214"/>
      <c r="O47" s="214"/>
    </row>
    <row r="48" spans="1:15" customFormat="1" ht="12.75" hidden="1" outlineLevel="1" x14ac:dyDescent="0.2">
      <c r="A48" s="48"/>
      <c r="B48" s="8">
        <v>2500000</v>
      </c>
      <c r="C48" s="2">
        <v>10.31</v>
      </c>
      <c r="G48" s="8">
        <v>2500000</v>
      </c>
      <c r="H48" s="2">
        <v>9.6199999999999992</v>
      </c>
      <c r="N48" s="214"/>
      <c r="O48" s="214"/>
    </row>
    <row r="49" spans="1:16" customFormat="1" ht="12.75" hidden="1" outlineLevel="1" x14ac:dyDescent="0.2">
      <c r="B49" s="8">
        <v>3000000</v>
      </c>
      <c r="C49" s="2">
        <v>10.039999999999999</v>
      </c>
      <c r="G49" s="8">
        <v>3000000</v>
      </c>
      <c r="H49" s="2">
        <v>9.3800000000000008</v>
      </c>
      <c r="N49" s="214"/>
      <c r="O49" s="214"/>
    </row>
    <row r="50" spans="1:16" customFormat="1" ht="12.75" hidden="1" outlineLevel="1" x14ac:dyDescent="0.2">
      <c r="B50" s="8">
        <v>3500000</v>
      </c>
      <c r="C50" s="2">
        <v>9.83</v>
      </c>
      <c r="G50" s="8">
        <v>3500000</v>
      </c>
      <c r="H50" s="2">
        <v>9.18</v>
      </c>
      <c r="N50" s="214"/>
      <c r="O50" s="214"/>
    </row>
    <row r="51" spans="1:16" customFormat="1" ht="12.75" hidden="1" outlineLevel="1" x14ac:dyDescent="0.2">
      <c r="B51" s="8">
        <v>4000000</v>
      </c>
      <c r="C51" s="2">
        <v>9.65</v>
      </c>
      <c r="G51" s="8">
        <v>4000000</v>
      </c>
      <c r="H51" s="2">
        <v>9</v>
      </c>
      <c r="N51" s="214"/>
      <c r="O51" s="214"/>
    </row>
    <row r="52" spans="1:16" customFormat="1" ht="12.75" hidden="1" outlineLevel="1" x14ac:dyDescent="0.2">
      <c r="B52" s="8">
        <v>5000000</v>
      </c>
      <c r="C52" s="2">
        <v>9.35</v>
      </c>
      <c r="G52" s="8">
        <v>5000000</v>
      </c>
      <c r="H52" s="2">
        <v>8.73</v>
      </c>
      <c r="N52" s="214"/>
      <c r="O52" s="214"/>
    </row>
    <row r="53" spans="1:16" customFormat="1" ht="12.75" hidden="1" outlineLevel="1" x14ac:dyDescent="0.2">
      <c r="B53" s="8">
        <v>6000000</v>
      </c>
      <c r="C53" s="2">
        <v>9.11</v>
      </c>
      <c r="G53" s="8">
        <v>6000000</v>
      </c>
      <c r="H53" s="2">
        <v>8.51</v>
      </c>
      <c r="N53" s="214"/>
      <c r="O53" s="214"/>
    </row>
    <row r="54" spans="1:16" customFormat="1" ht="12.75" hidden="1" outlineLevel="1" x14ac:dyDescent="0.2">
      <c r="B54" s="8">
        <v>7000000</v>
      </c>
      <c r="C54" s="2">
        <v>8.92</v>
      </c>
      <c r="G54" s="8">
        <v>7000000</v>
      </c>
      <c r="H54" s="2">
        <v>8.32</v>
      </c>
      <c r="N54" s="214"/>
      <c r="O54" s="214"/>
    </row>
    <row r="55" spans="1:16" customFormat="1" ht="12.75" hidden="1" outlineLevel="1" x14ac:dyDescent="0.2">
      <c r="B55" s="8">
        <v>8000000</v>
      </c>
      <c r="C55" s="2">
        <v>8.75</v>
      </c>
      <c r="G55" s="8">
        <v>8000000</v>
      </c>
      <c r="H55" s="2">
        <v>8.17</v>
      </c>
      <c r="N55" s="214"/>
      <c r="O55" s="214"/>
    </row>
    <row r="56" spans="1:16" customFormat="1" ht="12.75" hidden="1" outlineLevel="1" x14ac:dyDescent="0.2">
      <c r="A56" s="49"/>
      <c r="B56" s="8">
        <v>9000000</v>
      </c>
      <c r="C56" s="2">
        <v>8.61</v>
      </c>
      <c r="G56" s="8">
        <v>9000000</v>
      </c>
      <c r="H56" s="2">
        <v>8.0299999999999994</v>
      </c>
      <c r="N56" s="214"/>
      <c r="O56" s="214"/>
    </row>
    <row r="57" spans="1:16" customFormat="1" ht="12.75" hidden="1" outlineLevel="1" x14ac:dyDescent="0.2">
      <c r="B57" s="8">
        <v>10000000</v>
      </c>
      <c r="C57" s="2">
        <v>8.48</v>
      </c>
      <c r="G57" s="8">
        <v>10000000</v>
      </c>
      <c r="H57" s="2">
        <v>7.92</v>
      </c>
      <c r="N57" s="214"/>
      <c r="O57" s="214"/>
    </row>
    <row r="58" spans="1:16" customFormat="1" ht="12.75" hidden="1" outlineLevel="1" x14ac:dyDescent="0.2">
      <c r="B58" s="8">
        <v>11000000</v>
      </c>
      <c r="C58" s="2">
        <v>8.3699999999999992</v>
      </c>
      <c r="G58" s="8">
        <v>11000000</v>
      </c>
      <c r="H58" s="2">
        <v>7.81</v>
      </c>
      <c r="N58" s="214"/>
      <c r="O58" s="214"/>
    </row>
    <row r="59" spans="1:16" customFormat="1" ht="12.75" hidden="1" outlineLevel="1" x14ac:dyDescent="0.2">
      <c r="B59" s="8">
        <v>12000000</v>
      </c>
      <c r="C59" s="2">
        <v>8.26</v>
      </c>
      <c r="G59" s="8">
        <v>12000000</v>
      </c>
      <c r="H59" s="2">
        <v>7.72</v>
      </c>
      <c r="N59" s="214"/>
      <c r="O59" s="214"/>
    </row>
    <row r="60" spans="1:16" customFormat="1" ht="12.75" hidden="1" outlineLevel="1" x14ac:dyDescent="0.2">
      <c r="B60" s="8">
        <v>13000000</v>
      </c>
      <c r="C60" s="2">
        <v>8.17</v>
      </c>
      <c r="G60" s="8">
        <v>13000000</v>
      </c>
      <c r="H60" s="2">
        <v>7.63</v>
      </c>
      <c r="N60" s="214"/>
      <c r="O60" s="214"/>
    </row>
    <row r="61" spans="1:16" customFormat="1" ht="12.75" hidden="1" outlineLevel="1" x14ac:dyDescent="0.2">
      <c r="B61" s="8">
        <v>14000000</v>
      </c>
      <c r="C61" s="2">
        <v>8.09</v>
      </c>
      <c r="G61" s="8">
        <v>14000000</v>
      </c>
      <c r="H61" s="2">
        <v>7.55</v>
      </c>
      <c r="N61" s="214"/>
      <c r="O61" s="214"/>
    </row>
    <row r="62" spans="1:16" customFormat="1" ht="13.5" hidden="1" outlineLevel="1" thickBot="1" x14ac:dyDescent="0.25">
      <c r="B62" s="3">
        <v>15000000</v>
      </c>
      <c r="C62" s="9">
        <v>8.01</v>
      </c>
      <c r="G62" s="3">
        <v>15000000</v>
      </c>
      <c r="H62" s="9">
        <v>7.48</v>
      </c>
      <c r="N62" s="214"/>
      <c r="O62" s="214"/>
    </row>
    <row r="63" spans="1:16" customFormat="1" ht="69.95" customHeight="1" collapsed="1" x14ac:dyDescent="0.2">
      <c r="B63" s="496" t="s">
        <v>157</v>
      </c>
      <c r="C63" s="496"/>
      <c r="D63" s="496"/>
      <c r="E63" s="496"/>
      <c r="F63" s="496"/>
      <c r="G63" s="496"/>
      <c r="H63" s="496"/>
      <c r="N63" s="214"/>
      <c r="O63" s="214"/>
      <c r="P63" s="40"/>
    </row>
    <row r="64" spans="1:16" customFormat="1" ht="13.5" customHeight="1" thickBot="1" x14ac:dyDescent="0.25">
      <c r="B64" s="426"/>
      <c r="C64" s="214"/>
      <c r="D64" s="214"/>
      <c r="E64" s="214"/>
      <c r="F64" s="214"/>
      <c r="G64" s="426"/>
      <c r="H64" s="214"/>
      <c r="N64" s="214"/>
      <c r="O64" s="214"/>
    </row>
    <row r="65" spans="2:15" customFormat="1" ht="13.5" customHeight="1" thickBot="1" x14ac:dyDescent="0.25">
      <c r="B65" s="495" t="s">
        <v>280</v>
      </c>
      <c r="C65" s="495"/>
      <c r="D65" s="495"/>
      <c r="E65" s="495"/>
      <c r="F65" s="495"/>
      <c r="G65" s="495"/>
      <c r="H65" s="495"/>
      <c r="J65" s="10" t="s">
        <v>12</v>
      </c>
      <c r="K65" s="11">
        <f>K9+K20</f>
        <v>425544.3</v>
      </c>
      <c r="L65" s="12">
        <f>L9+L10+L11+L20</f>
        <v>17.955455696202531</v>
      </c>
      <c r="M65" s="388"/>
      <c r="N65" s="263">
        <f>L65*O75</f>
        <v>0.17901793187850856</v>
      </c>
      <c r="O65" s="214"/>
    </row>
    <row r="66" spans="2:15" customFormat="1" ht="13.5" customHeight="1" x14ac:dyDescent="0.2">
      <c r="B66" s="495"/>
      <c r="C66" s="495"/>
      <c r="D66" s="495"/>
      <c r="E66" s="495"/>
      <c r="F66" s="495"/>
      <c r="G66" s="495"/>
      <c r="H66" s="495"/>
      <c r="J66" t="s">
        <v>69</v>
      </c>
      <c r="K66" t="s">
        <v>23</v>
      </c>
      <c r="L66" t="s">
        <v>23</v>
      </c>
      <c r="N66" s="214"/>
      <c r="O66" s="214"/>
    </row>
    <row r="67" spans="2:15" customFormat="1" ht="13.5" customHeight="1" x14ac:dyDescent="0.2">
      <c r="B67" s="337"/>
      <c r="C67" s="337"/>
      <c r="D67" s="337"/>
      <c r="E67" s="337"/>
      <c r="F67" s="337"/>
      <c r="G67" s="214"/>
      <c r="H67" s="214"/>
      <c r="J67" t="s">
        <v>72</v>
      </c>
      <c r="K67" t="s">
        <v>23</v>
      </c>
      <c r="L67" t="s">
        <v>23</v>
      </c>
      <c r="N67" s="214"/>
      <c r="O67" s="214"/>
    </row>
    <row r="68" spans="2:15" customFormat="1" ht="13.5" customHeight="1" x14ac:dyDescent="0.2">
      <c r="B68" s="516" t="s">
        <v>281</v>
      </c>
      <c r="C68" s="516"/>
      <c r="D68" s="516"/>
      <c r="E68" s="516"/>
      <c r="F68" s="516"/>
      <c r="G68" s="516"/>
      <c r="H68" s="516"/>
      <c r="J68" t="s">
        <v>13</v>
      </c>
      <c r="K68" s="13">
        <f>C9*L68%</f>
        <v>7110</v>
      </c>
      <c r="L68" s="341">
        <v>0.3</v>
      </c>
      <c r="M68" s="341"/>
      <c r="N68" s="263">
        <f>L68*O75</f>
        <v>2.9910340607457223E-3</v>
      </c>
      <c r="O68" s="214"/>
    </row>
    <row r="69" spans="2:15" customFormat="1" ht="13.5" customHeight="1" x14ac:dyDescent="0.2">
      <c r="B69" s="516"/>
      <c r="C69" s="516"/>
      <c r="D69" s="516"/>
      <c r="E69" s="516"/>
      <c r="F69" s="516"/>
      <c r="G69" s="516"/>
      <c r="H69" s="516"/>
      <c r="J69" t="s">
        <v>73</v>
      </c>
      <c r="K69" s="13">
        <f>C9*L69%</f>
        <v>7110</v>
      </c>
      <c r="L69" s="341">
        <v>0.3</v>
      </c>
      <c r="M69" s="341"/>
      <c r="N69" s="263">
        <f>L69*O75</f>
        <v>2.9910340607457223E-3</v>
      </c>
      <c r="O69" s="214"/>
    </row>
    <row r="70" spans="2:15" customFormat="1" ht="13.5" customHeight="1" x14ac:dyDescent="0.2">
      <c r="B70" s="516"/>
      <c r="C70" s="516"/>
      <c r="D70" s="516"/>
      <c r="E70" s="516"/>
      <c r="F70" s="516"/>
      <c r="G70" s="516"/>
      <c r="H70" s="516"/>
      <c r="J70" t="s">
        <v>147</v>
      </c>
      <c r="K70" s="13">
        <f>C9*L70%</f>
        <v>0</v>
      </c>
      <c r="L70" s="341">
        <v>0</v>
      </c>
      <c r="M70" s="100"/>
      <c r="N70" s="263">
        <f>L70*O75</f>
        <v>0</v>
      </c>
      <c r="O70" s="214"/>
    </row>
    <row r="71" spans="2:15" customFormat="1" ht="13.5" customHeight="1" thickBot="1" x14ac:dyDescent="0.25">
      <c r="B71" s="526" t="s">
        <v>284</v>
      </c>
      <c r="C71" s="516"/>
      <c r="D71" s="516"/>
      <c r="E71" s="516"/>
      <c r="F71" s="516"/>
      <c r="G71" s="516"/>
      <c r="H71" s="516"/>
      <c r="J71" s="100" t="s">
        <v>205</v>
      </c>
      <c r="K71" s="13">
        <f>L71%*C9</f>
        <v>0</v>
      </c>
      <c r="L71" s="100">
        <v>0</v>
      </c>
      <c r="M71" s="100"/>
      <c r="N71" s="263">
        <f>L71*O75</f>
        <v>0</v>
      </c>
      <c r="O71" s="214"/>
    </row>
    <row r="72" spans="2:15" customFormat="1" ht="24.95" customHeight="1" thickBot="1" x14ac:dyDescent="0.25">
      <c r="B72" s="516"/>
      <c r="C72" s="516"/>
      <c r="D72" s="516"/>
      <c r="E72" s="516"/>
      <c r="F72" s="516"/>
      <c r="G72" s="516"/>
      <c r="H72" s="516"/>
      <c r="J72" s="10" t="s">
        <v>3</v>
      </c>
      <c r="K72" s="11">
        <f>SUM(K65:K71)</f>
        <v>439764.3</v>
      </c>
      <c r="L72" s="15">
        <f>SUM(L65:L71)</f>
        <v>18.555455696202532</v>
      </c>
      <c r="M72" s="389"/>
      <c r="N72" s="273"/>
      <c r="O72" s="214"/>
    </row>
    <row r="73" spans="2:15" customFormat="1" ht="13.5" customHeight="1" thickBot="1" x14ac:dyDescent="0.25">
      <c r="B73" s="516"/>
      <c r="C73" s="516"/>
      <c r="D73" s="516"/>
      <c r="E73" s="516"/>
      <c r="F73" s="516"/>
      <c r="G73" s="516"/>
      <c r="H73" s="516"/>
      <c r="N73" s="263"/>
      <c r="O73" s="214"/>
    </row>
    <row r="74" spans="2:15" customFormat="1" ht="13.5" customHeight="1" x14ac:dyDescent="0.2">
      <c r="B74" s="337"/>
      <c r="C74" s="236"/>
      <c r="D74" s="236"/>
      <c r="E74" s="236"/>
      <c r="F74" s="236"/>
      <c r="G74" s="236"/>
      <c r="H74" s="236"/>
      <c r="J74" s="16" t="s">
        <v>14</v>
      </c>
      <c r="K74" s="17"/>
      <c r="L74" s="338">
        <f>ROUND(L72/0.5,0)/100*0.5</f>
        <v>0.185</v>
      </c>
      <c r="M74" s="431" t="s">
        <v>292</v>
      </c>
      <c r="N74" s="540" t="s">
        <v>150</v>
      </c>
      <c r="O74" s="540"/>
    </row>
    <row r="75" spans="2:15" customFormat="1" ht="13.5" customHeight="1" thickBot="1" x14ac:dyDescent="0.25">
      <c r="B75" s="516" t="s">
        <v>283</v>
      </c>
      <c r="C75" s="516"/>
      <c r="D75" s="516"/>
      <c r="E75" s="516"/>
      <c r="F75" s="516"/>
      <c r="G75" s="516"/>
      <c r="H75" s="516"/>
      <c r="J75" s="18" t="s">
        <v>15</v>
      </c>
      <c r="K75" s="19"/>
      <c r="L75" s="339">
        <f>C9*L74</f>
        <v>438450</v>
      </c>
      <c r="M75" s="381"/>
      <c r="O75" s="214">
        <f>L74/L72</f>
        <v>9.9701135358190741E-3</v>
      </c>
    </row>
    <row r="76" spans="2:15" customFormat="1" ht="13.5" customHeight="1" x14ac:dyDescent="0.2">
      <c r="B76" s="516"/>
      <c r="C76" s="516"/>
      <c r="D76" s="516"/>
      <c r="E76" s="516"/>
      <c r="F76" s="516"/>
      <c r="G76" s="516"/>
      <c r="H76" s="516"/>
    </row>
    <row r="77" spans="2:15" customFormat="1" ht="13.5" customHeight="1" x14ac:dyDescent="0.2">
      <c r="B77" s="214"/>
      <c r="C77" s="214"/>
      <c r="D77" s="214"/>
      <c r="E77" s="214"/>
      <c r="F77" s="214"/>
      <c r="G77" s="214"/>
      <c r="H77" s="214"/>
    </row>
    <row r="78" spans="2:15" customFormat="1" ht="13.5" customHeight="1" x14ac:dyDescent="0.2">
      <c r="B78" s="526" t="s">
        <v>206</v>
      </c>
      <c r="C78" s="526"/>
      <c r="D78" s="526"/>
      <c r="E78" s="526"/>
      <c r="F78" s="526"/>
      <c r="G78" s="526"/>
      <c r="H78" s="526"/>
      <c r="O78" s="214"/>
    </row>
    <row r="79" spans="2:15" customFormat="1" ht="13.5" customHeight="1" x14ac:dyDescent="0.2">
      <c r="B79" s="526"/>
      <c r="C79" s="526"/>
      <c r="D79" s="526"/>
      <c r="E79" s="526"/>
      <c r="F79" s="526"/>
      <c r="G79" s="526"/>
      <c r="H79" s="526"/>
      <c r="N79" s="214"/>
      <c r="O79" s="214"/>
    </row>
    <row r="80" spans="2:15" ht="13.5" customHeight="1" x14ac:dyDescent="0.3">
      <c r="B80" s="526"/>
      <c r="C80" s="526"/>
      <c r="D80" s="526"/>
      <c r="E80" s="526"/>
      <c r="F80" s="526"/>
      <c r="G80" s="526"/>
      <c r="H80" s="526"/>
    </row>
    <row r="81" spans="2:15" ht="13.5" customHeight="1" x14ac:dyDescent="0.3">
      <c r="B81" s="526"/>
      <c r="C81" s="526"/>
      <c r="D81" s="526"/>
      <c r="E81" s="526"/>
      <c r="F81" s="526"/>
      <c r="G81" s="526"/>
      <c r="H81" s="526"/>
    </row>
    <row r="82" spans="2:15" ht="13.5" customHeight="1" x14ac:dyDescent="0.3"/>
    <row r="83" spans="2:15" customFormat="1" ht="13.5" customHeight="1" x14ac:dyDescent="0.2">
      <c r="B83" s="430" t="s">
        <v>291</v>
      </c>
      <c r="N83" s="214"/>
      <c r="O83" s="214"/>
    </row>
    <row r="84" spans="2:15" ht="13.5" customHeight="1" x14ac:dyDescent="0.3"/>
    <row r="85" spans="2:15" ht="13.5" customHeight="1" x14ac:dyDescent="0.3"/>
    <row r="86" spans="2:15" ht="13.5" customHeight="1" x14ac:dyDescent="0.3"/>
    <row r="87" spans="2:15" ht="13.5" customHeight="1" x14ac:dyDescent="0.3"/>
  </sheetData>
  <sheetProtection selectLockedCells="1" selectUnlockedCells="1"/>
  <mergeCells count="28">
    <mergeCell ref="J20:J21"/>
    <mergeCell ref="K20:K21"/>
    <mergeCell ref="L20:L21"/>
    <mergeCell ref="N20:N21"/>
    <mergeCell ref="O20:O21"/>
    <mergeCell ref="B75:H76"/>
    <mergeCell ref="B78:H81"/>
    <mergeCell ref="N74:O74"/>
    <mergeCell ref="N6:O6"/>
    <mergeCell ref="B7:C7"/>
    <mergeCell ref="K18:L18"/>
    <mergeCell ref="B65:H66"/>
    <mergeCell ref="B63:H63"/>
    <mergeCell ref="B68:H69"/>
    <mergeCell ref="B70:H70"/>
    <mergeCell ref="B71:H73"/>
    <mergeCell ref="B20:B21"/>
    <mergeCell ref="D20:D21"/>
    <mergeCell ref="E20:E21"/>
    <mergeCell ref="G20:G21"/>
    <mergeCell ref="I20:I21"/>
    <mergeCell ref="B3:L3"/>
    <mergeCell ref="B4:L4"/>
    <mergeCell ref="K6:L7"/>
    <mergeCell ref="B8:C8"/>
    <mergeCell ref="B18:E18"/>
    <mergeCell ref="G18:J18"/>
    <mergeCell ref="B6:J6"/>
  </mergeCells>
  <pageMargins left="0.23622047244094491" right="0.19685039370078741" top="0.74803149606299213" bottom="0.74803149606299213" header="0.31496062992125984" footer="0.31496062992125984"/>
  <pageSetup paperSize="9" firstPageNumber="0" orientation="landscape" cellComments="asDisplayed" horizontalDpi="300" verticalDpi="30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26"/>
  <sheetViews>
    <sheetView zoomScale="80" zoomScaleNormal="80" workbookViewId="0">
      <selection activeCell="F48" sqref="F48"/>
    </sheetView>
  </sheetViews>
  <sheetFormatPr baseColWidth="10" defaultRowHeight="12.75" x14ac:dyDescent="0.2"/>
  <cols>
    <col min="1" max="1" width="3.7109375" customWidth="1"/>
    <col min="2" max="2" width="37.140625" customWidth="1"/>
    <col min="3" max="3" width="5.7109375" customWidth="1"/>
    <col min="4" max="4" width="20.7109375" style="82" customWidth="1"/>
    <col min="5" max="9" width="20.7109375" customWidth="1"/>
  </cols>
  <sheetData>
    <row r="1" spans="2:12" ht="15" x14ac:dyDescent="0.2">
      <c r="B1" s="80" t="str">
        <f>'Budget global'!B1</f>
        <v>VILLE_Projet de xxxxxxxxxxxxxxxxxxxxxxxxxxxxxxxxxxxxxx</v>
      </c>
      <c r="E1" s="36" t="s">
        <v>90</v>
      </c>
      <c r="F1" s="82" t="str">
        <f>'Budget global'!D1</f>
        <v>XX-XX-XXXX</v>
      </c>
    </row>
    <row r="2" spans="2:12" ht="15" customHeight="1" thickBot="1" x14ac:dyDescent="0.25">
      <c r="B2" s="35"/>
      <c r="C2" s="95"/>
      <c r="D2" s="96"/>
    </row>
    <row r="3" spans="2:12" s="147" customFormat="1" ht="20.100000000000001" customHeight="1" thickBot="1" x14ac:dyDescent="0.25">
      <c r="B3" s="497" t="s">
        <v>207</v>
      </c>
      <c r="C3" s="498"/>
      <c r="D3" s="498"/>
      <c r="E3" s="498"/>
      <c r="F3" s="498"/>
      <c r="G3" s="498"/>
      <c r="H3" s="498"/>
      <c r="I3" s="499"/>
      <c r="J3" s="146"/>
      <c r="K3" s="22"/>
      <c r="L3" s="22"/>
    </row>
    <row r="4" spans="2:12" s="56" customFormat="1" ht="15.75" x14ac:dyDescent="0.2">
      <c r="B4" s="75"/>
      <c r="C4" s="74"/>
      <c r="D4"/>
      <c r="E4"/>
      <c r="F4"/>
      <c r="G4"/>
      <c r="H4"/>
      <c r="I4"/>
      <c r="J4" s="100"/>
      <c r="K4"/>
      <c r="L4"/>
    </row>
    <row r="5" spans="2:12" x14ac:dyDescent="0.2">
      <c r="D5" s="342" t="s">
        <v>85</v>
      </c>
      <c r="E5" s="542" t="s">
        <v>86</v>
      </c>
      <c r="F5" s="542"/>
      <c r="G5" s="543" t="s">
        <v>87</v>
      </c>
      <c r="H5" s="543"/>
      <c r="I5" s="543"/>
    </row>
    <row r="6" spans="2:12" x14ac:dyDescent="0.2">
      <c r="B6" s="35" t="s">
        <v>77</v>
      </c>
      <c r="D6" s="88" t="s">
        <v>78</v>
      </c>
      <c r="E6" s="545" t="s">
        <v>79</v>
      </c>
      <c r="F6" s="545"/>
      <c r="G6" s="545" t="s">
        <v>82</v>
      </c>
      <c r="H6" s="545"/>
      <c r="I6" s="545"/>
    </row>
    <row r="7" spans="2:12" ht="12.75" customHeight="1" x14ac:dyDescent="0.2">
      <c r="B7" s="35"/>
      <c r="D7" s="88"/>
      <c r="E7" s="88" t="s">
        <v>80</v>
      </c>
      <c r="F7" s="88" t="s">
        <v>81</v>
      </c>
      <c r="G7" s="88" t="s">
        <v>83</v>
      </c>
      <c r="H7" s="98" t="s">
        <v>92</v>
      </c>
      <c r="I7" s="88" t="s">
        <v>84</v>
      </c>
      <c r="J7" s="100"/>
    </row>
    <row r="8" spans="2:12" x14ac:dyDescent="0.2">
      <c r="D8" s="88"/>
      <c r="E8" s="88"/>
      <c r="F8" s="88"/>
      <c r="G8" s="88"/>
      <c r="H8" s="99"/>
      <c r="I8" s="88" t="s">
        <v>91</v>
      </c>
      <c r="J8" s="100"/>
    </row>
    <row r="9" spans="2:12" x14ac:dyDescent="0.2">
      <c r="D9" s="87"/>
      <c r="E9" s="87"/>
      <c r="F9" s="87"/>
      <c r="G9" s="87"/>
      <c r="H9" s="87"/>
      <c r="I9" s="87"/>
    </row>
    <row r="10" spans="2:12" x14ac:dyDescent="0.2">
      <c r="B10" t="str">
        <f>'Budget global'!B23</f>
        <v>2.1. Etudes/travaux préparatoires</v>
      </c>
      <c r="D10" s="87"/>
      <c r="E10" s="87"/>
      <c r="F10" s="87"/>
      <c r="G10" s="87"/>
      <c r="H10" s="87"/>
      <c r="I10" s="87"/>
    </row>
    <row r="11" spans="2:12" x14ac:dyDescent="0.2">
      <c r="B11" s="87">
        <f>'Budget global'!H23</f>
        <v>118809.9</v>
      </c>
      <c r="D11" s="89">
        <f>B11</f>
        <v>118809.9</v>
      </c>
      <c r="E11" s="87"/>
      <c r="F11" s="87"/>
      <c r="G11" s="87"/>
      <c r="H11" s="87"/>
      <c r="I11" s="87"/>
    </row>
    <row r="12" spans="2:12" x14ac:dyDescent="0.2">
      <c r="D12" s="87"/>
      <c r="E12" s="87"/>
      <c r="F12" s="87"/>
      <c r="G12" s="87"/>
      <c r="H12" s="87"/>
      <c r="I12" s="87"/>
    </row>
    <row r="13" spans="2:12" x14ac:dyDescent="0.2">
      <c r="B13" t="str">
        <f>'Budget global'!B29</f>
        <v>2.2. Passation du marché d'auteur de projet</v>
      </c>
      <c r="D13" s="87"/>
      <c r="E13" s="87"/>
      <c r="F13" s="87"/>
      <c r="G13" s="87"/>
      <c r="H13" s="87"/>
      <c r="I13" s="87"/>
    </row>
    <row r="14" spans="2:12" x14ac:dyDescent="0.2">
      <c r="B14" s="87">
        <f>'Budget global'!$H$29</f>
        <v>37630</v>
      </c>
      <c r="D14" s="87"/>
      <c r="E14" s="87"/>
      <c r="F14" s="89">
        <f>B14</f>
        <v>37630</v>
      </c>
      <c r="G14" s="87"/>
      <c r="H14" s="87"/>
      <c r="I14" s="87"/>
    </row>
    <row r="15" spans="2:12" x14ac:dyDescent="0.2">
      <c r="D15" s="87"/>
      <c r="E15" s="87"/>
      <c r="F15" s="87"/>
      <c r="G15" s="87"/>
      <c r="H15" s="87"/>
      <c r="I15" s="87"/>
    </row>
    <row r="16" spans="2:12" x14ac:dyDescent="0.2">
      <c r="B16" t="str">
        <f>'Budget global'!B37</f>
        <v>2.3. Honoraires de l'auteur de projet</v>
      </c>
      <c r="D16" s="87"/>
      <c r="E16" s="87"/>
      <c r="F16" s="87"/>
      <c r="G16" s="87"/>
      <c r="H16" s="87"/>
      <c r="I16" s="87"/>
    </row>
    <row r="17" spans="2:9" x14ac:dyDescent="0.2">
      <c r="B17" s="87">
        <f>'Budget global'!H37</f>
        <v>370454.2</v>
      </c>
      <c r="D17" s="87"/>
      <c r="E17" s="87"/>
      <c r="F17" s="87"/>
      <c r="G17" s="89">
        <f>55%*B17</f>
        <v>203749.81000000003</v>
      </c>
      <c r="H17" s="89">
        <f>5%*B17</f>
        <v>18522.710000000003</v>
      </c>
      <c r="I17" s="89">
        <f>40%*B17</f>
        <v>148181.68000000002</v>
      </c>
    </row>
    <row r="18" spans="2:9" x14ac:dyDescent="0.2">
      <c r="D18" s="87"/>
      <c r="E18" s="87"/>
      <c r="F18" s="87"/>
      <c r="G18" s="87"/>
      <c r="H18" s="87"/>
      <c r="I18" s="87"/>
    </row>
    <row r="19" spans="2:9" x14ac:dyDescent="0.2">
      <c r="B19" t="str">
        <f>'Budget global'!B43</f>
        <v>2.4. Travaux *</v>
      </c>
      <c r="D19" s="87"/>
      <c r="E19" s="87"/>
      <c r="F19" s="87"/>
      <c r="G19" s="87"/>
      <c r="H19" s="87"/>
      <c r="I19" s="87"/>
    </row>
    <row r="20" spans="2:9" x14ac:dyDescent="0.2">
      <c r="B20" s="87">
        <f>'Budget global'!H43</f>
        <v>3180787.5</v>
      </c>
      <c r="D20" s="87"/>
      <c r="E20" s="87"/>
      <c r="F20" s="87"/>
      <c r="I20" s="89">
        <f>B20</f>
        <v>3180787.5</v>
      </c>
    </row>
    <row r="21" spans="2:9" x14ac:dyDescent="0.2">
      <c r="D21" s="87"/>
      <c r="E21" s="87"/>
      <c r="F21" s="87"/>
      <c r="G21" s="87"/>
      <c r="H21" s="87"/>
      <c r="I21" s="87"/>
    </row>
    <row r="22" spans="2:9" x14ac:dyDescent="0.2">
      <c r="B22" t="str">
        <f>'Budget global'!B71</f>
        <v>2.5. Divers</v>
      </c>
      <c r="D22" s="87"/>
      <c r="E22" s="87"/>
      <c r="F22" s="87"/>
      <c r="G22" s="87"/>
      <c r="H22" s="87"/>
      <c r="I22" s="87"/>
    </row>
    <row r="23" spans="2:9" x14ac:dyDescent="0.2">
      <c r="B23" s="87">
        <f>'Budget global'!H71</f>
        <v>52211.5</v>
      </c>
      <c r="D23" s="87"/>
      <c r="E23" s="87"/>
      <c r="F23" s="87"/>
      <c r="G23" s="544">
        <f>B23</f>
        <v>52211.5</v>
      </c>
      <c r="H23" s="544"/>
      <c r="I23" s="544"/>
    </row>
    <row r="25" spans="2:9" x14ac:dyDescent="0.2">
      <c r="B25" s="35" t="s">
        <v>3</v>
      </c>
    </row>
    <row r="26" spans="2:9" x14ac:dyDescent="0.2">
      <c r="B26" s="86">
        <f>SUM(B9:B24)</f>
        <v>3759893.1</v>
      </c>
    </row>
  </sheetData>
  <mergeCells count="6">
    <mergeCell ref="B3:I3"/>
    <mergeCell ref="E5:F5"/>
    <mergeCell ref="G5:I5"/>
    <mergeCell ref="G23:I23"/>
    <mergeCell ref="E6:F6"/>
    <mergeCell ref="G6:I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07"/>
  <sheetViews>
    <sheetView topLeftCell="A36" zoomScale="85" zoomScaleNormal="85" workbookViewId="0">
      <selection activeCell="B38" sqref="B38"/>
    </sheetView>
  </sheetViews>
  <sheetFormatPr baseColWidth="10" defaultRowHeight="12.75" x14ac:dyDescent="0.2"/>
  <cols>
    <col min="1" max="1" width="3.7109375" customWidth="1"/>
    <col min="2" max="2" width="108.28515625" customWidth="1"/>
    <col min="3" max="3" width="21.42578125" customWidth="1"/>
    <col min="4" max="4" width="12.7109375" customWidth="1"/>
    <col min="5" max="6" width="15.7109375" customWidth="1"/>
    <col min="7" max="7" width="25.7109375" customWidth="1"/>
    <col min="8" max="8" width="30.7109375" customWidth="1"/>
    <col min="9" max="9" width="105" style="184" customWidth="1"/>
    <col min="10" max="10" width="72.5703125" customWidth="1"/>
  </cols>
  <sheetData>
    <row r="1" spans="2:14" ht="15" x14ac:dyDescent="0.2">
      <c r="B1" s="318" t="s">
        <v>88</v>
      </c>
      <c r="C1" s="36" t="s">
        <v>90</v>
      </c>
      <c r="D1" s="320" t="s">
        <v>94</v>
      </c>
      <c r="F1" s="95"/>
      <c r="G1" s="102"/>
      <c r="H1" s="95"/>
    </row>
    <row r="2" spans="2:14" ht="15" customHeight="1" thickBot="1" x14ac:dyDescent="0.25">
      <c r="B2" s="35"/>
      <c r="C2" s="95"/>
      <c r="D2" s="95"/>
      <c r="E2" s="95"/>
      <c r="F2" s="95"/>
      <c r="G2" s="96"/>
    </row>
    <row r="3" spans="2:14" s="147" customFormat="1" ht="20.100000000000001" customHeight="1" thickBot="1" x14ac:dyDescent="0.25">
      <c r="B3" s="459" t="s">
        <v>130</v>
      </c>
      <c r="C3" s="460"/>
      <c r="D3" s="460"/>
      <c r="E3" s="460"/>
      <c r="F3" s="460"/>
      <c r="G3" s="460"/>
      <c r="H3" s="461"/>
      <c r="I3" s="185"/>
      <c r="J3"/>
      <c r="K3" s="22"/>
      <c r="L3" s="148"/>
      <c r="M3" s="22"/>
      <c r="N3" s="22"/>
    </row>
    <row r="4" spans="2:14" s="56" customFormat="1" ht="15" customHeight="1" thickBot="1" x14ac:dyDescent="0.25">
      <c r="B4" s="75"/>
      <c r="C4" s="74"/>
      <c r="D4" s="74"/>
      <c r="E4" s="83"/>
      <c r="F4" s="83"/>
      <c r="G4"/>
      <c r="H4"/>
      <c r="I4" s="184"/>
      <c r="J4"/>
      <c r="K4"/>
      <c r="L4"/>
      <c r="M4"/>
      <c r="N4"/>
    </row>
    <row r="5" spans="2:14" s="147" customFormat="1" ht="20.100000000000001" customHeight="1" thickBot="1" x14ac:dyDescent="0.25">
      <c r="B5" s="470" t="s">
        <v>168</v>
      </c>
      <c r="C5" s="471"/>
      <c r="D5" s="471"/>
      <c r="E5" s="471"/>
      <c r="F5" s="471"/>
      <c r="G5" s="471"/>
      <c r="H5" s="472"/>
      <c r="I5" s="185"/>
      <c r="K5" s="22"/>
      <c r="L5" s="148"/>
      <c r="M5" s="22"/>
      <c r="N5" s="22"/>
    </row>
    <row r="6" spans="2:14" ht="15" customHeight="1" thickBot="1" x14ac:dyDescent="0.25">
      <c r="B6" s="353" t="s">
        <v>219</v>
      </c>
      <c r="C6" s="315">
        <v>0</v>
      </c>
      <c r="D6" s="215" t="s">
        <v>117</v>
      </c>
      <c r="F6" s="54"/>
    </row>
    <row r="7" spans="2:14" s="56" customFormat="1" ht="15" customHeight="1" thickBot="1" x14ac:dyDescent="0.25">
      <c r="B7" s="75"/>
      <c r="C7" s="74"/>
      <c r="D7" s="299"/>
      <c r="F7" s="83"/>
      <c r="G7"/>
      <c r="H7"/>
      <c r="I7" s="184"/>
      <c r="J7"/>
      <c r="K7"/>
      <c r="L7"/>
      <c r="M7"/>
      <c r="N7"/>
    </row>
    <row r="8" spans="2:14" ht="15" customHeight="1" thickBot="1" x14ac:dyDescent="0.25">
      <c r="B8" s="224" t="s">
        <v>131</v>
      </c>
      <c r="C8" s="215" t="s">
        <v>98</v>
      </c>
      <c r="D8" s="215"/>
      <c r="F8" s="112"/>
      <c r="G8" s="113"/>
      <c r="H8" s="54"/>
    </row>
    <row r="9" spans="2:14" s="22" customFormat="1" ht="15" customHeight="1" x14ac:dyDescent="0.2">
      <c r="B9" s="225" t="s">
        <v>218</v>
      </c>
      <c r="C9" s="316">
        <v>1</v>
      </c>
      <c r="D9" s="215" t="s">
        <v>232</v>
      </c>
      <c r="F9" s="120"/>
      <c r="G9" s="113"/>
      <c r="H9" s="103"/>
      <c r="I9" s="185"/>
    </row>
    <row r="10" spans="2:14" s="22" customFormat="1" ht="15" customHeight="1" x14ac:dyDescent="0.2">
      <c r="B10" s="226" t="s">
        <v>42</v>
      </c>
      <c r="C10" s="300">
        <v>1</v>
      </c>
      <c r="D10" s="215"/>
      <c r="F10" s="120"/>
      <c r="G10" s="113"/>
      <c r="H10" s="103"/>
      <c r="I10" s="185"/>
    </row>
    <row r="11" spans="2:14" s="22" customFormat="1" ht="15" customHeight="1" x14ac:dyDescent="0.2">
      <c r="B11" s="226" t="s">
        <v>103</v>
      </c>
      <c r="C11" s="300">
        <v>1</v>
      </c>
      <c r="D11" s="215" t="s">
        <v>178</v>
      </c>
      <c r="F11" s="120"/>
      <c r="G11" s="113"/>
      <c r="H11" s="103"/>
      <c r="I11" s="185"/>
    </row>
    <row r="12" spans="2:14" s="22" customFormat="1" ht="15" customHeight="1" x14ac:dyDescent="0.2">
      <c r="B12" s="226" t="s">
        <v>225</v>
      </c>
      <c r="C12" s="300">
        <v>2</v>
      </c>
      <c r="D12" s="215" t="s">
        <v>232</v>
      </c>
      <c r="F12" s="120"/>
      <c r="G12" s="113"/>
      <c r="H12" s="103"/>
      <c r="I12" s="185"/>
    </row>
    <row r="13" spans="2:14" s="22" customFormat="1" ht="15" customHeight="1" x14ac:dyDescent="0.2">
      <c r="B13" s="226" t="s">
        <v>95</v>
      </c>
      <c r="C13" s="300">
        <v>3</v>
      </c>
      <c r="D13" s="215"/>
      <c r="F13" s="120"/>
      <c r="G13" s="113"/>
      <c r="H13" s="103"/>
      <c r="I13" s="185"/>
    </row>
    <row r="14" spans="2:14" s="22" customFormat="1" ht="15" customHeight="1" x14ac:dyDescent="0.2">
      <c r="B14" s="226" t="s">
        <v>43</v>
      </c>
      <c r="C14" s="300">
        <v>0</v>
      </c>
      <c r="D14" s="215" t="s">
        <v>269</v>
      </c>
      <c r="F14" s="120"/>
      <c r="G14" s="113"/>
      <c r="H14" s="103"/>
      <c r="I14" s="185"/>
    </row>
    <row r="15" spans="2:14" s="22" customFormat="1" ht="15" customHeight="1" x14ac:dyDescent="0.2">
      <c r="B15" s="227" t="s">
        <v>226</v>
      </c>
      <c r="C15" s="300">
        <v>1</v>
      </c>
      <c r="D15" s="215" t="s">
        <v>232</v>
      </c>
      <c r="F15" s="120"/>
      <c r="G15" s="113"/>
      <c r="H15" s="103"/>
      <c r="I15" s="185"/>
    </row>
    <row r="16" spans="2:14" s="22" customFormat="1" ht="15" customHeight="1" x14ac:dyDescent="0.2">
      <c r="B16" s="226" t="s">
        <v>227</v>
      </c>
      <c r="C16" s="300">
        <v>1</v>
      </c>
      <c r="D16" s="215"/>
      <c r="F16" s="120"/>
      <c r="G16" s="113"/>
      <c r="H16" s="103"/>
      <c r="I16" s="185"/>
    </row>
    <row r="17" spans="1:14" s="22" customFormat="1" ht="15" customHeight="1" x14ac:dyDescent="0.2">
      <c r="B17" s="226" t="s">
        <v>132</v>
      </c>
      <c r="C17" s="300">
        <v>3</v>
      </c>
      <c r="D17" s="215" t="s">
        <v>257</v>
      </c>
      <c r="F17" s="120"/>
      <c r="G17" s="113"/>
      <c r="H17" s="103"/>
      <c r="I17" s="185"/>
      <c r="J17"/>
    </row>
    <row r="18" spans="1:14" s="22" customFormat="1" ht="15" customHeight="1" thickBot="1" x14ac:dyDescent="0.25">
      <c r="B18" s="228" t="s">
        <v>102</v>
      </c>
      <c r="C18" s="317">
        <v>1</v>
      </c>
      <c r="D18" s="215" t="s">
        <v>178</v>
      </c>
      <c r="F18" s="120"/>
      <c r="G18" s="113"/>
      <c r="H18" s="103"/>
      <c r="I18" s="185"/>
      <c r="J18"/>
    </row>
    <row r="19" spans="1:14" s="22" customFormat="1" ht="15" customHeight="1" x14ac:dyDescent="0.2">
      <c r="B19" s="215"/>
      <c r="C19" s="120"/>
      <c r="D19" s="120"/>
      <c r="E19" s="215"/>
      <c r="F19" s="120"/>
      <c r="G19" s="113"/>
      <c r="H19" s="103"/>
      <c r="I19" s="185"/>
    </row>
    <row r="20" spans="1:14" s="56" customFormat="1" ht="15" customHeight="1" thickBot="1" x14ac:dyDescent="0.25">
      <c r="B20" s="75"/>
      <c r="C20" s="83"/>
      <c r="D20" s="83"/>
      <c r="E20" s="83"/>
      <c r="F20" s="83"/>
      <c r="G20"/>
      <c r="H20"/>
      <c r="I20" s="184"/>
      <c r="J20"/>
      <c r="K20"/>
      <c r="L20"/>
      <c r="M20"/>
      <c r="N20"/>
    </row>
    <row r="21" spans="1:14" s="147" customFormat="1" ht="20.100000000000001" customHeight="1" thickBot="1" x14ac:dyDescent="0.25">
      <c r="B21" s="470" t="s">
        <v>169</v>
      </c>
      <c r="C21" s="471"/>
      <c r="D21" s="471"/>
      <c r="E21" s="471"/>
      <c r="F21" s="471"/>
      <c r="G21" s="471"/>
      <c r="H21" s="472"/>
      <c r="I21" s="185"/>
      <c r="J21"/>
      <c r="K21" s="22"/>
      <c r="L21" s="148"/>
      <c r="M21" s="22"/>
      <c r="N21" s="22"/>
    </row>
    <row r="22" spans="1:14" ht="30" customHeight="1" x14ac:dyDescent="0.2">
      <c r="B22" s="90"/>
      <c r="C22" s="114" t="s">
        <v>109</v>
      </c>
      <c r="D22" s="346" t="s">
        <v>179</v>
      </c>
      <c r="E22" s="143" t="s">
        <v>180</v>
      </c>
      <c r="F22" s="345" t="s">
        <v>181</v>
      </c>
      <c r="G22" s="108" t="s">
        <v>39</v>
      </c>
      <c r="H22" s="109" t="s">
        <v>40</v>
      </c>
      <c r="I22" s="234" t="s">
        <v>99</v>
      </c>
    </row>
    <row r="23" spans="1:14" s="105" customFormat="1" ht="24.95" customHeight="1" x14ac:dyDescent="0.2">
      <c r="B23" s="465" t="s">
        <v>220</v>
      </c>
      <c r="C23" s="466"/>
      <c r="D23" s="292"/>
      <c r="E23" s="186"/>
      <c r="F23" s="186"/>
      <c r="G23" s="304">
        <f>SUM(G24:G28)</f>
        <v>98190</v>
      </c>
      <c r="H23" s="305">
        <f>SUM(H24:H28)</f>
        <v>118809.9</v>
      </c>
      <c r="I23" s="218" t="s">
        <v>270</v>
      </c>
      <c r="J23"/>
    </row>
    <row r="24" spans="1:14" s="123" customFormat="1" ht="15" customHeight="1" x14ac:dyDescent="0.2">
      <c r="A24" s="22"/>
      <c r="B24" s="104" t="s">
        <v>261</v>
      </c>
      <c r="C24" s="121">
        <v>0.21</v>
      </c>
      <c r="D24" s="312" t="s">
        <v>182</v>
      </c>
      <c r="E24" s="290">
        <v>1</v>
      </c>
      <c r="F24" s="119">
        <f>10%*G39</f>
        <v>28440</v>
      </c>
      <c r="G24" s="303">
        <f>E24*F24</f>
        <v>28440</v>
      </c>
      <c r="H24" s="306">
        <f>G24*1+C24*G24</f>
        <v>34412.400000000001</v>
      </c>
      <c r="I24" s="215" t="s">
        <v>258</v>
      </c>
      <c r="J24"/>
    </row>
    <row r="25" spans="1:14" s="123" customFormat="1" ht="15" customHeight="1" x14ac:dyDescent="0.2">
      <c r="A25" s="22"/>
      <c r="B25" s="104" t="s">
        <v>75</v>
      </c>
      <c r="C25" s="121">
        <v>0.21</v>
      </c>
      <c r="D25" s="312" t="s">
        <v>182</v>
      </c>
      <c r="E25" s="290">
        <v>1</v>
      </c>
      <c r="F25" s="291">
        <f>4000</f>
        <v>4000</v>
      </c>
      <c r="G25" s="303">
        <f>E25*F25</f>
        <v>4000</v>
      </c>
      <c r="H25" s="306">
        <f>G25*1+C25*G25</f>
        <v>4840</v>
      </c>
      <c r="I25" s="185"/>
    </row>
    <row r="26" spans="1:14" s="22" customFormat="1" ht="15" customHeight="1" x14ac:dyDescent="0.2">
      <c r="B26" s="104" t="s">
        <v>96</v>
      </c>
      <c r="C26" s="121">
        <v>0.21</v>
      </c>
      <c r="D26" s="312" t="s">
        <v>182</v>
      </c>
      <c r="E26" s="290">
        <v>1</v>
      </c>
      <c r="F26" s="291">
        <f>5000</f>
        <v>5000</v>
      </c>
      <c r="G26" s="303">
        <f>E26*F26</f>
        <v>5000</v>
      </c>
      <c r="H26" s="306">
        <f>G26*1+C26*G26</f>
        <v>6050</v>
      </c>
    </row>
    <row r="27" spans="1:14" s="22" customFormat="1" ht="15" customHeight="1" x14ac:dyDescent="0.2">
      <c r="B27" s="104" t="s">
        <v>97</v>
      </c>
      <c r="C27" s="121">
        <v>0.21</v>
      </c>
      <c r="D27" s="312" t="s">
        <v>182</v>
      </c>
      <c r="E27" s="290">
        <v>1</v>
      </c>
      <c r="F27" s="291">
        <f>750</f>
        <v>750</v>
      </c>
      <c r="G27" s="303">
        <f>E27*F27</f>
        <v>750</v>
      </c>
      <c r="H27" s="306">
        <f>G27*1+C27*G27</f>
        <v>907.5</v>
      </c>
      <c r="I27" s="187"/>
    </row>
    <row r="28" spans="1:14" s="123" customFormat="1" ht="15" customHeight="1" x14ac:dyDescent="0.2">
      <c r="A28" s="22"/>
      <c r="B28" s="110" t="s">
        <v>76</v>
      </c>
      <c r="C28" s="121">
        <v>0.21</v>
      </c>
      <c r="D28" s="312" t="s">
        <v>183</v>
      </c>
      <c r="E28" s="290">
        <v>300</v>
      </c>
      <c r="F28" s="119">
        <v>200</v>
      </c>
      <c r="G28" s="303">
        <f>E28*F28</f>
        <v>60000</v>
      </c>
      <c r="H28" s="306">
        <f>G28*1+C28*G28</f>
        <v>72600</v>
      </c>
      <c r="I28" s="188"/>
      <c r="J28" s="22"/>
    </row>
    <row r="29" spans="1:14" s="105" customFormat="1" ht="24.95" customHeight="1" x14ac:dyDescent="0.2">
      <c r="B29" s="465" t="s">
        <v>221</v>
      </c>
      <c r="C29" s="466"/>
      <c r="D29" s="292"/>
      <c r="E29" s="186"/>
      <c r="F29" s="186"/>
      <c r="G29" s="111">
        <f>SUM(G30:G36)</f>
        <v>35950</v>
      </c>
      <c r="H29" s="107">
        <f>SUM(H30:H36)</f>
        <v>37630</v>
      </c>
      <c r="I29" s="216" t="s">
        <v>234</v>
      </c>
    </row>
    <row r="30" spans="1:14" s="22" customFormat="1" ht="15" customHeight="1" x14ac:dyDescent="0.2">
      <c r="B30" s="226" t="s">
        <v>228</v>
      </c>
      <c r="C30" s="229">
        <v>0</v>
      </c>
      <c r="D30" s="301"/>
      <c r="E30" s="115"/>
      <c r="F30" s="115"/>
      <c r="G30" s="119">
        <f>C9*(450*C12+C15*150)</f>
        <v>1050</v>
      </c>
      <c r="H30" s="117">
        <f>G30*1+C30*G30</f>
        <v>1050</v>
      </c>
      <c r="I30" s="215" t="s">
        <v>233</v>
      </c>
    </row>
    <row r="31" spans="1:14" s="22" customFormat="1" ht="15" customHeight="1" x14ac:dyDescent="0.2">
      <c r="B31" s="226" t="s">
        <v>229</v>
      </c>
      <c r="C31" s="229">
        <v>0</v>
      </c>
      <c r="D31" s="301"/>
      <c r="E31" s="115"/>
      <c r="F31" s="115"/>
      <c r="G31" s="119">
        <f>C10*(450*C13+150*C16)</f>
        <v>1500</v>
      </c>
      <c r="H31" s="117">
        <f t="shared" ref="H31:H34" si="0">G31*1+C31*G31</f>
        <v>1500</v>
      </c>
      <c r="I31" s="217"/>
    </row>
    <row r="32" spans="1:14" s="22" customFormat="1" ht="15" customHeight="1" x14ac:dyDescent="0.2">
      <c r="B32" s="226" t="s">
        <v>230</v>
      </c>
      <c r="C32" s="229">
        <v>0</v>
      </c>
      <c r="D32" s="301"/>
      <c r="E32" s="115"/>
      <c r="F32" s="115"/>
      <c r="G32" s="119">
        <f>C9*((50*C12)+(C14*(100+100)))</f>
        <v>100</v>
      </c>
      <c r="H32" s="117">
        <f>G32*1+C32*G32</f>
        <v>100</v>
      </c>
      <c r="I32" s="215" t="s">
        <v>233</v>
      </c>
    </row>
    <row r="33" spans="1:10" s="22" customFormat="1" ht="15" customHeight="1" x14ac:dyDescent="0.2">
      <c r="B33" s="226" t="s">
        <v>231</v>
      </c>
      <c r="C33" s="229">
        <v>0</v>
      </c>
      <c r="D33" s="301"/>
      <c r="E33" s="115"/>
      <c r="F33" s="115"/>
      <c r="G33" s="119">
        <f>C10*((50*C13)+(C14*(100+100)))</f>
        <v>150</v>
      </c>
      <c r="H33" s="117">
        <f t="shared" si="0"/>
        <v>150</v>
      </c>
      <c r="I33" s="215"/>
    </row>
    <row r="34" spans="1:10" s="22" customFormat="1" ht="15" customHeight="1" x14ac:dyDescent="0.2">
      <c r="B34" s="226" t="s">
        <v>100</v>
      </c>
      <c r="C34" s="229">
        <v>0.21</v>
      </c>
      <c r="D34" s="301"/>
      <c r="E34" s="290">
        <v>1</v>
      </c>
      <c r="F34" s="115"/>
      <c r="G34" s="119">
        <f>E34*8000</f>
        <v>8000</v>
      </c>
      <c r="H34" s="117">
        <f t="shared" si="0"/>
        <v>9680</v>
      </c>
      <c r="I34" s="215" t="s">
        <v>101</v>
      </c>
    </row>
    <row r="35" spans="1:10" s="22" customFormat="1" ht="15" customHeight="1" x14ac:dyDescent="0.2">
      <c r="B35" s="226" t="s">
        <v>307</v>
      </c>
      <c r="C35" s="229">
        <v>0</v>
      </c>
      <c r="D35" s="301"/>
      <c r="E35" s="115"/>
      <c r="F35" s="115"/>
      <c r="G35" s="119">
        <f>(C17)*'Indemité. soumiss.'!B4</f>
        <v>24900</v>
      </c>
      <c r="H35" s="117">
        <f>G35*1+C35*G35</f>
        <v>24900</v>
      </c>
      <c r="I35" s="215" t="s">
        <v>115</v>
      </c>
    </row>
    <row r="36" spans="1:10" s="22" customFormat="1" ht="15" customHeight="1" x14ac:dyDescent="0.2">
      <c r="B36" s="226" t="s">
        <v>118</v>
      </c>
      <c r="C36" s="229">
        <v>0</v>
      </c>
      <c r="D36" s="301"/>
      <c r="E36" s="115"/>
      <c r="F36" s="115"/>
      <c r="G36" s="119">
        <f>C11*(250*C18)</f>
        <v>250</v>
      </c>
      <c r="H36" s="117">
        <f>G36*1+C36*G36</f>
        <v>250</v>
      </c>
      <c r="I36" s="215"/>
    </row>
    <row r="37" spans="1:10" s="105" customFormat="1" ht="24.95" customHeight="1" x14ac:dyDescent="0.2">
      <c r="B37" s="465" t="s">
        <v>222</v>
      </c>
      <c r="C37" s="466"/>
      <c r="D37" s="292"/>
      <c r="E37" s="186"/>
      <c r="F37" s="186"/>
      <c r="G37" s="111">
        <f>SUM(G38:G42)</f>
        <v>304720</v>
      </c>
      <c r="H37" s="107">
        <f>SUM(H38:H42)</f>
        <v>370454.2</v>
      </c>
      <c r="I37" s="218"/>
    </row>
    <row r="38" spans="1:10" s="123" customFormat="1" ht="15" customHeight="1" x14ac:dyDescent="0.2">
      <c r="A38" s="22"/>
      <c r="B38" s="311" t="s">
        <v>135</v>
      </c>
      <c r="C38" s="121">
        <v>0.21</v>
      </c>
      <c r="D38" s="312" t="s">
        <v>187</v>
      </c>
      <c r="E38" s="290">
        <v>0</v>
      </c>
      <c r="F38" s="115"/>
      <c r="G38" s="140">
        <f>G39*0.05*E38</f>
        <v>0</v>
      </c>
      <c r="H38" s="117">
        <f>G38*1+C38*G38</f>
        <v>0</v>
      </c>
      <c r="I38" s="215" t="s">
        <v>260</v>
      </c>
      <c r="J38" s="22"/>
    </row>
    <row r="39" spans="1:10" s="123" customFormat="1" ht="30" customHeight="1" x14ac:dyDescent="0.2">
      <c r="B39" s="207" t="s">
        <v>170</v>
      </c>
      <c r="C39" s="121">
        <v>0.21</v>
      </c>
      <c r="D39" s="312" t="s">
        <v>27</v>
      </c>
      <c r="E39" s="418">
        <f>'Honor-Cat 2'!L74</f>
        <v>0.12</v>
      </c>
      <c r="F39" s="208"/>
      <c r="G39" s="295">
        <f>'Honor-Cat 2'!L75</f>
        <v>284400</v>
      </c>
      <c r="H39" s="276">
        <f>G39*1+C39*G39</f>
        <v>344124</v>
      </c>
      <c r="I39" s="296"/>
      <c r="J39" s="105"/>
    </row>
    <row r="40" spans="1:10" s="123" customFormat="1" ht="15" customHeight="1" x14ac:dyDescent="0.2">
      <c r="A40" s="22"/>
      <c r="B40" s="230" t="s">
        <v>308</v>
      </c>
      <c r="C40" s="121">
        <v>0</v>
      </c>
      <c r="D40" s="301"/>
      <c r="E40" s="115"/>
      <c r="F40" s="115"/>
      <c r="G40" s="119">
        <f>-'Indemité. soumiss.'!E33</f>
        <v>-8300</v>
      </c>
      <c r="H40" s="117">
        <f>G40*1+C40*G40</f>
        <v>-8300</v>
      </c>
      <c r="I40" s="215" t="s">
        <v>115</v>
      </c>
    </row>
    <row r="41" spans="1:10" s="123" customFormat="1" ht="15" customHeight="1" x14ac:dyDescent="0.2">
      <c r="A41" s="22"/>
      <c r="B41" s="127" t="s">
        <v>159</v>
      </c>
      <c r="C41" s="121">
        <v>0.21</v>
      </c>
      <c r="D41" s="312" t="s">
        <v>184</v>
      </c>
      <c r="E41" s="330">
        <f>E69</f>
        <v>7.4999999999999997E-2</v>
      </c>
      <c r="F41" s="115"/>
      <c r="G41" s="131">
        <f>E41*G39</f>
        <v>21330</v>
      </c>
      <c r="H41" s="117">
        <f>G41*1+C41*G41</f>
        <v>25809.3</v>
      </c>
      <c r="I41" s="215" t="s">
        <v>235</v>
      </c>
    </row>
    <row r="42" spans="1:10" s="123" customFormat="1" ht="15" customHeight="1" x14ac:dyDescent="0.2">
      <c r="A42" s="22"/>
      <c r="B42" s="311" t="s">
        <v>160</v>
      </c>
      <c r="C42" s="121">
        <v>0.21</v>
      </c>
      <c r="D42" s="312" t="s">
        <v>27</v>
      </c>
      <c r="E42" s="190">
        <v>0.09</v>
      </c>
      <c r="F42" s="115"/>
      <c r="G42" s="131">
        <f>E42*G70</f>
        <v>7290</v>
      </c>
      <c r="H42" s="117">
        <f>G42*1+C42*G42</f>
        <v>8820.9</v>
      </c>
      <c r="I42" s="216"/>
    </row>
    <row r="43" spans="1:10" s="105" customFormat="1" ht="24.95" customHeight="1" x14ac:dyDescent="0.2">
      <c r="B43" s="310" t="s">
        <v>223</v>
      </c>
      <c r="C43" s="322">
        <v>0.21</v>
      </c>
      <c r="D43" s="298"/>
      <c r="E43" s="129"/>
      <c r="F43" s="122"/>
      <c r="G43" s="212">
        <f>SUM(G68:G70)</f>
        <v>2628750</v>
      </c>
      <c r="H43" s="107">
        <f>SUM(H68:H70)</f>
        <v>3180787.5</v>
      </c>
      <c r="I43" s="218" t="s">
        <v>259</v>
      </c>
      <c r="J43" s="219"/>
    </row>
    <row r="44" spans="1:10" s="123" customFormat="1" ht="15" customHeight="1" x14ac:dyDescent="0.2">
      <c r="A44" s="22"/>
      <c r="B44" s="204" t="s">
        <v>120</v>
      </c>
      <c r="C44" s="121"/>
      <c r="D44" s="193"/>
      <c r="E44" s="141"/>
      <c r="F44" s="211"/>
      <c r="G44" s="196"/>
      <c r="H44" s="117"/>
      <c r="I44" s="219"/>
    </row>
    <row r="45" spans="1:10" s="123" customFormat="1" ht="15" customHeight="1" x14ac:dyDescent="0.2">
      <c r="A45" s="22"/>
      <c r="B45" s="125" t="s">
        <v>106</v>
      </c>
      <c r="C45" s="121"/>
      <c r="D45" s="193"/>
      <c r="E45" s="141"/>
      <c r="F45" s="124"/>
      <c r="G45" s="213"/>
      <c r="H45" s="117"/>
      <c r="I45" s="219"/>
    </row>
    <row r="46" spans="1:10" s="123" customFormat="1" ht="15" customHeight="1" x14ac:dyDescent="0.2">
      <c r="A46" s="22"/>
      <c r="B46" s="307" t="s">
        <v>174</v>
      </c>
      <c r="C46" s="229">
        <f>C43</f>
        <v>0.21</v>
      </c>
      <c r="D46" s="312" t="s">
        <v>23</v>
      </c>
      <c r="E46" s="308"/>
      <c r="F46" s="309"/>
      <c r="G46" s="309" t="s">
        <v>23</v>
      </c>
      <c r="H46" s="117"/>
      <c r="I46" s="219"/>
    </row>
    <row r="47" spans="1:10" s="123" customFormat="1" ht="15" customHeight="1" x14ac:dyDescent="0.2">
      <c r="A47" s="22"/>
      <c r="B47" s="126" t="s">
        <v>104</v>
      </c>
      <c r="C47" s="121">
        <f>C43</f>
        <v>0.21</v>
      </c>
      <c r="D47" s="312" t="s">
        <v>185</v>
      </c>
      <c r="E47" s="290">
        <v>200</v>
      </c>
      <c r="F47" s="291">
        <v>3250</v>
      </c>
      <c r="G47" s="119">
        <f>E47*F47</f>
        <v>650000</v>
      </c>
      <c r="H47" s="117"/>
      <c r="I47" s="219"/>
    </row>
    <row r="48" spans="1:10" s="123" customFormat="1" ht="15" customHeight="1" x14ac:dyDescent="0.2">
      <c r="A48" s="22"/>
      <c r="B48" s="126" t="s">
        <v>105</v>
      </c>
      <c r="C48" s="121">
        <f>C43</f>
        <v>0.21</v>
      </c>
      <c r="D48" s="312" t="s">
        <v>185</v>
      </c>
      <c r="E48" s="290">
        <v>625</v>
      </c>
      <c r="F48" s="291">
        <v>2200</v>
      </c>
      <c r="G48" s="119">
        <f>E48*F48</f>
        <v>1375000</v>
      </c>
      <c r="H48" s="117"/>
      <c r="I48" s="219"/>
    </row>
    <row r="49" spans="1:10" s="123" customFormat="1" ht="15" customHeight="1" x14ac:dyDescent="0.2">
      <c r="A49" s="22"/>
      <c r="B49" s="125" t="s">
        <v>107</v>
      </c>
      <c r="C49" s="121"/>
      <c r="D49" s="193"/>
      <c r="E49" s="290"/>
      <c r="F49" s="291"/>
      <c r="G49" s="119"/>
      <c r="H49" s="117"/>
      <c r="I49" s="219"/>
    </row>
    <row r="50" spans="1:10" s="22" customFormat="1" ht="15" customHeight="1" x14ac:dyDescent="0.2">
      <c r="B50" s="126" t="s">
        <v>124</v>
      </c>
      <c r="C50" s="121">
        <f>C43</f>
        <v>0.21</v>
      </c>
      <c r="D50" s="312" t="s">
        <v>182</v>
      </c>
      <c r="E50" s="290">
        <v>1</v>
      </c>
      <c r="F50" s="321">
        <v>75000</v>
      </c>
      <c r="G50" s="119">
        <f>E50*F50</f>
        <v>75000</v>
      </c>
      <c r="H50" s="117"/>
      <c r="I50" s="219"/>
      <c r="J50" s="118"/>
    </row>
    <row r="51" spans="1:10" s="22" customFormat="1" ht="15" customHeight="1" x14ac:dyDescent="0.2">
      <c r="B51" s="126" t="s">
        <v>74</v>
      </c>
      <c r="C51" s="121">
        <f>C43</f>
        <v>0.21</v>
      </c>
      <c r="D51" s="312" t="s">
        <v>182</v>
      </c>
      <c r="E51" s="290">
        <v>1</v>
      </c>
      <c r="F51" s="321">
        <v>105000</v>
      </c>
      <c r="G51" s="119">
        <f>E51*F51</f>
        <v>105000</v>
      </c>
      <c r="H51" s="117"/>
      <c r="I51" s="219"/>
      <c r="J51" s="118"/>
    </row>
    <row r="52" spans="1:10" s="123" customFormat="1" ht="15" customHeight="1" x14ac:dyDescent="0.2">
      <c r="A52" s="22"/>
      <c r="B52" s="125" t="s">
        <v>108</v>
      </c>
      <c r="C52" s="121"/>
      <c r="D52" s="193"/>
      <c r="E52" s="290"/>
      <c r="F52" s="291"/>
      <c r="G52" s="116"/>
      <c r="H52" s="117"/>
      <c r="I52" s="219"/>
      <c r="J52" s="118"/>
    </row>
    <row r="53" spans="1:10" s="123" customFormat="1" ht="15" customHeight="1" x14ac:dyDescent="0.2">
      <c r="A53" s="22"/>
      <c r="B53" s="126" t="s">
        <v>295</v>
      </c>
      <c r="C53" s="121">
        <f>C43</f>
        <v>0.21</v>
      </c>
      <c r="D53" s="312" t="s">
        <v>185</v>
      </c>
      <c r="E53" s="290">
        <v>200</v>
      </c>
      <c r="F53" s="291">
        <v>75</v>
      </c>
      <c r="G53" s="119">
        <f t="shared" ref="G53:G58" si="1">E53*F53</f>
        <v>15000</v>
      </c>
      <c r="H53" s="117"/>
      <c r="I53" s="219"/>
    </row>
    <row r="54" spans="1:10" s="123" customFormat="1" ht="15" customHeight="1" x14ac:dyDescent="0.2">
      <c r="A54" s="22"/>
      <c r="B54" s="432" t="s">
        <v>296</v>
      </c>
      <c r="C54" s="193">
        <f>C43</f>
        <v>0.21</v>
      </c>
      <c r="D54" s="312" t="s">
        <v>185</v>
      </c>
      <c r="E54" s="433">
        <v>50</v>
      </c>
      <c r="F54" s="434">
        <v>110</v>
      </c>
      <c r="G54" s="119">
        <f t="shared" si="1"/>
        <v>5500</v>
      </c>
      <c r="H54" s="197"/>
      <c r="I54" s="219"/>
    </row>
    <row r="55" spans="1:10" s="123" customFormat="1" ht="15" customHeight="1" x14ac:dyDescent="0.2">
      <c r="A55" s="22"/>
      <c r="B55" s="432" t="s">
        <v>294</v>
      </c>
      <c r="C55" s="193">
        <f>C43</f>
        <v>0.21</v>
      </c>
      <c r="D55" s="312" t="s">
        <v>297</v>
      </c>
      <c r="E55" s="433">
        <v>35</v>
      </c>
      <c r="F55" s="434">
        <v>100</v>
      </c>
      <c r="G55" s="119">
        <f t="shared" si="1"/>
        <v>3500</v>
      </c>
      <c r="H55" s="197"/>
      <c r="I55" s="219"/>
    </row>
    <row r="56" spans="1:10" s="123" customFormat="1" ht="15" customHeight="1" x14ac:dyDescent="0.2">
      <c r="A56" s="22"/>
      <c r="B56" s="126" t="s">
        <v>298</v>
      </c>
      <c r="C56" s="121">
        <f>C43</f>
        <v>0.21</v>
      </c>
      <c r="D56" s="312" t="s">
        <v>185</v>
      </c>
      <c r="E56" s="290">
        <v>100</v>
      </c>
      <c r="F56" s="291">
        <v>250</v>
      </c>
      <c r="G56" s="119">
        <f t="shared" si="1"/>
        <v>25000</v>
      </c>
      <c r="H56" s="117"/>
      <c r="I56" s="219"/>
    </row>
    <row r="57" spans="1:10" s="123" customFormat="1" ht="15" customHeight="1" x14ac:dyDescent="0.2">
      <c r="A57" s="22"/>
      <c r="B57" s="432" t="s">
        <v>299</v>
      </c>
      <c r="C57" s="193">
        <f>C43</f>
        <v>0.21</v>
      </c>
      <c r="D57" s="312" t="s">
        <v>186</v>
      </c>
      <c r="E57" s="433">
        <v>3</v>
      </c>
      <c r="F57" s="434">
        <v>3300</v>
      </c>
      <c r="G57" s="196">
        <f t="shared" si="1"/>
        <v>9900</v>
      </c>
      <c r="H57" s="197"/>
      <c r="I57" s="219"/>
    </row>
    <row r="58" spans="1:10" s="123" customFormat="1" ht="15" customHeight="1" x14ac:dyDescent="0.2">
      <c r="A58" s="22"/>
      <c r="B58" s="126" t="s">
        <v>300</v>
      </c>
      <c r="C58" s="121">
        <f>C43</f>
        <v>0.21</v>
      </c>
      <c r="D58" s="312" t="s">
        <v>186</v>
      </c>
      <c r="E58" s="290">
        <v>10</v>
      </c>
      <c r="F58" s="291">
        <v>3200</v>
      </c>
      <c r="G58" s="119">
        <f t="shared" si="1"/>
        <v>32000</v>
      </c>
      <c r="H58" s="117"/>
      <c r="I58" s="219"/>
    </row>
    <row r="59" spans="1:10" s="22" customFormat="1" ht="15" customHeight="1" x14ac:dyDescent="0.2">
      <c r="B59" s="126"/>
      <c r="C59" s="121"/>
      <c r="D59" s="193"/>
      <c r="E59" s="290"/>
      <c r="F59" s="321"/>
      <c r="G59" s="119"/>
      <c r="H59" s="117"/>
      <c r="I59" s="219"/>
      <c r="J59" s="118"/>
    </row>
    <row r="60" spans="1:10" s="123" customFormat="1" ht="15" customHeight="1" x14ac:dyDescent="0.2">
      <c r="A60" s="22"/>
      <c r="B60" s="204" t="s">
        <v>121</v>
      </c>
      <c r="C60" s="121"/>
      <c r="D60" s="193"/>
      <c r="E60" s="290"/>
      <c r="F60" s="291"/>
      <c r="G60" s="116"/>
      <c r="H60" s="117"/>
      <c r="I60" s="219"/>
    </row>
    <row r="61" spans="1:10" s="123" customFormat="1" ht="15" customHeight="1" x14ac:dyDescent="0.2">
      <c r="A61" s="22"/>
      <c r="B61" s="307" t="s">
        <v>136</v>
      </c>
      <c r="C61" s="121">
        <f>C43</f>
        <v>0.21</v>
      </c>
      <c r="D61" s="312" t="s">
        <v>182</v>
      </c>
      <c r="E61" s="290">
        <v>1</v>
      </c>
      <c r="F61" s="291">
        <v>25000</v>
      </c>
      <c r="G61" s="119">
        <f>E61*F61</f>
        <v>25000</v>
      </c>
      <c r="H61" s="117"/>
      <c r="I61" s="219"/>
    </row>
    <row r="62" spans="1:10" s="123" customFormat="1" ht="15" customHeight="1" x14ac:dyDescent="0.2">
      <c r="A62" s="22"/>
      <c r="B62" s="307" t="s">
        <v>175</v>
      </c>
      <c r="C62" s="121">
        <f>C43</f>
        <v>0.21</v>
      </c>
      <c r="D62" s="312" t="s">
        <v>182</v>
      </c>
      <c r="E62" s="290">
        <v>1</v>
      </c>
      <c r="F62" s="291">
        <v>45000</v>
      </c>
      <c r="G62" s="119">
        <f>E62*F62</f>
        <v>45000</v>
      </c>
      <c r="H62" s="117"/>
      <c r="I62" s="219"/>
    </row>
    <row r="63" spans="1:10" s="123" customFormat="1" ht="15" customHeight="1" x14ac:dyDescent="0.2">
      <c r="A63" s="22"/>
      <c r="B63" s="313"/>
      <c r="C63" s="193"/>
      <c r="D63" s="193"/>
      <c r="E63" s="194"/>
      <c r="F63" s="195"/>
      <c r="G63" s="196"/>
      <c r="H63" s="197"/>
      <c r="I63" s="219"/>
    </row>
    <row r="64" spans="1:10" s="123" customFormat="1" ht="15" customHeight="1" x14ac:dyDescent="0.2">
      <c r="A64" s="22"/>
      <c r="B64" s="204" t="s">
        <v>122</v>
      </c>
      <c r="C64" s="121">
        <f>C43</f>
        <v>0.21</v>
      </c>
      <c r="D64" s="193"/>
      <c r="E64" s="141"/>
      <c r="F64" s="124"/>
      <c r="G64" s="116">
        <f>SUM(G44:G63)</f>
        <v>2365900</v>
      </c>
      <c r="H64" s="142">
        <f>G64*1+C64*G64</f>
        <v>2862739</v>
      </c>
      <c r="I64" s="215"/>
    </row>
    <row r="65" spans="1:10" s="123" customFormat="1" ht="15" customHeight="1" x14ac:dyDescent="0.2">
      <c r="A65" s="22"/>
      <c r="B65" s="205"/>
      <c r="C65" s="201"/>
      <c r="D65" s="302"/>
      <c r="E65" s="202"/>
      <c r="F65" s="195"/>
      <c r="G65" s="195"/>
      <c r="H65" s="203"/>
      <c r="I65" s="215"/>
    </row>
    <row r="66" spans="1:10" s="123" customFormat="1" ht="15" customHeight="1" x14ac:dyDescent="0.2">
      <c r="A66" s="22"/>
      <c r="B66" s="284" t="s">
        <v>138</v>
      </c>
      <c r="C66" s="121">
        <f>C43</f>
        <v>0.21</v>
      </c>
      <c r="D66" s="193"/>
      <c r="E66" s="141"/>
      <c r="F66" s="124"/>
      <c r="G66" s="285">
        <f>Indexation!G11</f>
        <v>2365900</v>
      </c>
      <c r="H66" s="142">
        <f>G66*1+C66*G66</f>
        <v>2862739</v>
      </c>
      <c r="I66" s="215" t="s">
        <v>244</v>
      </c>
    </row>
    <row r="67" spans="1:10" s="123" customFormat="1" ht="15" customHeight="1" x14ac:dyDescent="0.2">
      <c r="A67" s="22"/>
      <c r="B67" s="205"/>
      <c r="C67" s="201"/>
      <c r="D67" s="302"/>
      <c r="E67" s="202"/>
      <c r="F67" s="195"/>
      <c r="G67" s="195"/>
      <c r="H67" s="203"/>
      <c r="I67" s="215"/>
    </row>
    <row r="68" spans="1:10" s="123" customFormat="1" ht="30" customHeight="1" x14ac:dyDescent="0.2">
      <c r="B68" s="233" t="s">
        <v>139</v>
      </c>
      <c r="C68" s="286">
        <f>C43</f>
        <v>0.21</v>
      </c>
      <c r="D68" s="201"/>
      <c r="E68" s="209"/>
      <c r="F68" s="210"/>
      <c r="G68" s="206">
        <f>ROUND(G66,-4)</f>
        <v>2370000</v>
      </c>
      <c r="H68" s="276">
        <f>G68*1+C68*G68</f>
        <v>2867700</v>
      </c>
      <c r="I68" s="215" t="s">
        <v>245</v>
      </c>
    </row>
    <row r="69" spans="1:10" s="22" customFormat="1" ht="15" customHeight="1" x14ac:dyDescent="0.2">
      <c r="B69" s="130" t="s">
        <v>137</v>
      </c>
      <c r="C69" s="286">
        <f>C43</f>
        <v>0.21</v>
      </c>
      <c r="D69" s="312" t="s">
        <v>184</v>
      </c>
      <c r="E69" s="323">
        <v>7.4999999999999997E-2</v>
      </c>
      <c r="F69" s="324"/>
      <c r="G69" s="116">
        <f>E69*G68</f>
        <v>177750</v>
      </c>
      <c r="H69" s="97">
        <f>G69*1+C69*G69</f>
        <v>215077.5</v>
      </c>
      <c r="I69" s="216"/>
    </row>
    <row r="70" spans="1:10" s="22" customFormat="1" ht="15" customHeight="1" x14ac:dyDescent="0.2">
      <c r="B70" s="128" t="s">
        <v>158</v>
      </c>
      <c r="C70" s="121">
        <f>C43</f>
        <v>0.21</v>
      </c>
      <c r="D70" s="312" t="s">
        <v>185</v>
      </c>
      <c r="E70" s="290">
        <v>450</v>
      </c>
      <c r="F70" s="291">
        <v>180</v>
      </c>
      <c r="G70" s="116">
        <f>E70*F70</f>
        <v>81000</v>
      </c>
      <c r="H70" s="142">
        <f t="shared" ref="H70" si="2">G70*1+C70*G70</f>
        <v>98010</v>
      </c>
      <c r="I70" s="216"/>
    </row>
    <row r="71" spans="1:10" s="105" customFormat="1" ht="24.95" customHeight="1" x14ac:dyDescent="0.2">
      <c r="B71" s="465" t="s">
        <v>224</v>
      </c>
      <c r="C71" s="466"/>
      <c r="D71" s="293"/>
      <c r="E71" s="186"/>
      <c r="F71" s="186"/>
      <c r="G71" s="106"/>
      <c r="H71" s="107">
        <f>SUM(H72:H79)</f>
        <v>52211.5</v>
      </c>
      <c r="I71" s="218"/>
    </row>
    <row r="72" spans="1:10" s="22" customFormat="1" ht="15" customHeight="1" x14ac:dyDescent="0.2">
      <c r="B72" s="127" t="s">
        <v>161</v>
      </c>
      <c r="C72" s="121">
        <v>0.21</v>
      </c>
      <c r="D72" s="312" t="s">
        <v>182</v>
      </c>
      <c r="E72" s="290">
        <v>1</v>
      </c>
      <c r="F72" s="291">
        <v>2000</v>
      </c>
      <c r="G72" s="303">
        <f>E72*F72</f>
        <v>2000</v>
      </c>
      <c r="H72" s="306">
        <f t="shared" ref="H72:H78" si="3">G72*1+C72*G72</f>
        <v>2420</v>
      </c>
      <c r="I72" s="215"/>
    </row>
    <row r="73" spans="1:10" s="22" customFormat="1" ht="15" customHeight="1" x14ac:dyDescent="0.2">
      <c r="B73" s="104" t="s">
        <v>110</v>
      </c>
      <c r="C73" s="121">
        <v>0.21</v>
      </c>
      <c r="D73" s="312" t="s">
        <v>182</v>
      </c>
      <c r="E73" s="290">
        <v>1</v>
      </c>
      <c r="F73" s="291">
        <v>10000</v>
      </c>
      <c r="G73" s="303">
        <f>E73*F73</f>
        <v>10000</v>
      </c>
      <c r="H73" s="306">
        <f t="shared" si="3"/>
        <v>12100</v>
      </c>
      <c r="I73" s="219"/>
      <c r="J73" s="118"/>
    </row>
    <row r="74" spans="1:10" s="22" customFormat="1" ht="15" customHeight="1" x14ac:dyDescent="0.2">
      <c r="B74" s="104" t="s">
        <v>111</v>
      </c>
      <c r="C74" s="121">
        <v>0.21</v>
      </c>
      <c r="D74" s="193"/>
      <c r="E74" s="290">
        <v>1</v>
      </c>
      <c r="F74" s="119">
        <f>'Oeuvre d''Art'!E20*(1+C6)</f>
        <v>19300</v>
      </c>
      <c r="G74" s="137">
        <f>E74*F74</f>
        <v>19300</v>
      </c>
      <c r="H74" s="117">
        <f t="shared" si="3"/>
        <v>23353</v>
      </c>
      <c r="I74" s="215" t="s">
        <v>197</v>
      </c>
    </row>
    <row r="75" spans="1:10" s="22" customFormat="1" ht="15" customHeight="1" x14ac:dyDescent="0.2">
      <c r="B75" s="138" t="s">
        <v>133</v>
      </c>
      <c r="C75" s="121">
        <v>0.21</v>
      </c>
      <c r="D75" s="312" t="s">
        <v>184</v>
      </c>
      <c r="E75" s="323">
        <v>5.0000000000000001E-3</v>
      </c>
      <c r="F75" s="137">
        <f>G68</f>
        <v>2370000</v>
      </c>
      <c r="G75" s="137">
        <f>E75*F75</f>
        <v>11850</v>
      </c>
      <c r="H75" s="306">
        <f t="shared" si="3"/>
        <v>14338.5</v>
      </c>
      <c r="I75" s="215" t="s">
        <v>262</v>
      </c>
      <c r="J75" s="118"/>
    </row>
    <row r="76" spans="1:10" ht="15" customHeight="1" x14ac:dyDescent="0.2">
      <c r="B76" s="325" t="s">
        <v>114</v>
      </c>
      <c r="C76" s="326">
        <v>0.21</v>
      </c>
      <c r="D76" s="327"/>
      <c r="E76" s="328"/>
      <c r="F76" s="328"/>
      <c r="G76" s="329">
        <v>0</v>
      </c>
      <c r="H76" s="92">
        <f t="shared" si="3"/>
        <v>0</v>
      </c>
      <c r="I76" s="220"/>
    </row>
    <row r="77" spans="1:10" ht="15" customHeight="1" x14ac:dyDescent="0.2">
      <c r="B77" s="325" t="s">
        <v>114</v>
      </c>
      <c r="C77" s="326">
        <v>0.21</v>
      </c>
      <c r="D77" s="327"/>
      <c r="E77" s="328"/>
      <c r="F77" s="328"/>
      <c r="G77" s="329">
        <v>0</v>
      </c>
      <c r="H77" s="92">
        <f t="shared" si="3"/>
        <v>0</v>
      </c>
      <c r="I77" s="220"/>
    </row>
    <row r="78" spans="1:10" ht="15" customHeight="1" x14ac:dyDescent="0.2">
      <c r="B78" s="325" t="s">
        <v>114</v>
      </c>
      <c r="C78" s="326">
        <v>0.21</v>
      </c>
      <c r="D78" s="327"/>
      <c r="E78" s="328"/>
      <c r="F78" s="328"/>
      <c r="G78" s="329">
        <v>0</v>
      </c>
      <c r="H78" s="92">
        <f t="shared" si="3"/>
        <v>0</v>
      </c>
      <c r="I78" s="220"/>
    </row>
    <row r="79" spans="1:10" ht="15" customHeight="1" thickBot="1" x14ac:dyDescent="0.25">
      <c r="B79" s="101"/>
      <c r="C79" s="93"/>
      <c r="D79" s="93"/>
      <c r="E79" s="93"/>
      <c r="F79" s="93"/>
      <c r="G79" s="91"/>
      <c r="H79" s="94"/>
    </row>
    <row r="80" spans="1:10" ht="16.5" thickBot="1" x14ac:dyDescent="0.3">
      <c r="C80" s="462" t="s">
        <v>93</v>
      </c>
      <c r="D80" s="463"/>
      <c r="E80" s="463"/>
      <c r="F80" s="463"/>
      <c r="G80" s="464"/>
      <c r="H80" s="85">
        <f>SUM(H23+H29+H37+H43+H71)</f>
        <v>3759893.1</v>
      </c>
      <c r="I80" s="220"/>
    </row>
    <row r="81" spans="2:14" ht="15" customHeight="1" x14ac:dyDescent="0.25">
      <c r="B81" s="55"/>
      <c r="I81" s="189"/>
    </row>
    <row r="82" spans="2:14" ht="15" customHeight="1" x14ac:dyDescent="0.2"/>
    <row r="83" spans="2:14" ht="39.950000000000003" customHeight="1" x14ac:dyDescent="0.2">
      <c r="B83" s="467" t="s">
        <v>271</v>
      </c>
      <c r="C83" s="468"/>
      <c r="D83" s="468"/>
      <c r="E83" s="468"/>
      <c r="F83" s="468"/>
      <c r="G83" s="468"/>
      <c r="H83" s="469"/>
    </row>
    <row r="84" spans="2:14" ht="100.5" customHeight="1" x14ac:dyDescent="0.2">
      <c r="B84" s="467" t="s">
        <v>272</v>
      </c>
      <c r="C84" s="468"/>
      <c r="D84" s="468"/>
      <c r="E84" s="468"/>
      <c r="F84" s="468"/>
      <c r="G84" s="468"/>
      <c r="H84" s="469"/>
    </row>
    <row r="85" spans="2:14" ht="30" customHeight="1" x14ac:dyDescent="0.2">
      <c r="B85" s="467" t="s">
        <v>188</v>
      </c>
      <c r="C85" s="468"/>
      <c r="D85" s="468"/>
      <c r="E85" s="468"/>
      <c r="F85" s="468"/>
      <c r="G85" s="468"/>
      <c r="H85" s="469"/>
    </row>
    <row r="86" spans="2:14" ht="69.95" customHeight="1" x14ac:dyDescent="0.2">
      <c r="B86" s="467" t="s">
        <v>189</v>
      </c>
      <c r="C86" s="468"/>
      <c r="D86" s="468"/>
      <c r="E86" s="468"/>
      <c r="F86" s="468"/>
      <c r="G86" s="468"/>
      <c r="H86" s="469"/>
    </row>
    <row r="87" spans="2:14" ht="15" customHeight="1" x14ac:dyDescent="0.2">
      <c r="B87" s="467" t="s">
        <v>134</v>
      </c>
      <c r="C87" s="468"/>
      <c r="D87" s="468"/>
      <c r="E87" s="468"/>
      <c r="F87" s="468"/>
      <c r="G87" s="468"/>
      <c r="H87" s="469"/>
    </row>
    <row r="88" spans="2:14" ht="15" customHeight="1" x14ac:dyDescent="0.2"/>
    <row r="89" spans="2:14" ht="15" customHeight="1" thickBot="1" x14ac:dyDescent="0.25"/>
    <row r="90" spans="2:14" s="147" customFormat="1" ht="20.100000000000001" customHeight="1" thickBot="1" x14ac:dyDescent="0.25">
      <c r="B90" s="437" t="s">
        <v>246</v>
      </c>
      <c r="C90" s="438"/>
      <c r="D90" s="438"/>
      <c r="E90" s="438"/>
      <c r="F90" s="438"/>
      <c r="G90" s="438"/>
      <c r="H90" s="439"/>
      <c r="I90" s="185"/>
      <c r="J90" s="22"/>
      <c r="K90" s="22"/>
      <c r="L90" s="148"/>
      <c r="M90" s="22"/>
      <c r="N90" s="22"/>
    </row>
    <row r="91" spans="2:14" ht="163.5" customHeight="1" thickBot="1" x14ac:dyDescent="0.25">
      <c r="B91" s="456" t="s">
        <v>290</v>
      </c>
      <c r="C91" s="457"/>
      <c r="D91" s="457"/>
      <c r="E91" s="457"/>
      <c r="F91" s="457"/>
      <c r="G91" s="457"/>
      <c r="H91" s="458"/>
    </row>
    <row r="92" spans="2:14" s="105" customFormat="1" ht="24.95" customHeight="1" x14ac:dyDescent="0.2">
      <c r="B92" s="446" t="s">
        <v>172</v>
      </c>
      <c r="C92" s="447"/>
      <c r="D92" s="447"/>
      <c r="E92" s="354" t="s">
        <v>212</v>
      </c>
      <c r="F92" s="354" t="s">
        <v>213</v>
      </c>
      <c r="G92" s="355">
        <f>SUM(G99+G94+G93)</f>
        <v>535810</v>
      </c>
      <c r="H92" s="22"/>
      <c r="K92" s="218"/>
    </row>
    <row r="93" spans="2:14" s="105" customFormat="1" ht="24.95" customHeight="1" x14ac:dyDescent="0.2">
      <c r="B93" s="448" t="s">
        <v>286</v>
      </c>
      <c r="C93" s="449"/>
      <c r="D93" s="449"/>
      <c r="E93" s="428"/>
      <c r="F93" s="347"/>
      <c r="G93" s="289">
        <f>G35</f>
        <v>24900</v>
      </c>
      <c r="H93" s="419" t="s">
        <v>287</v>
      </c>
      <c r="J93" s="279"/>
      <c r="K93" s="218"/>
    </row>
    <row r="94" spans="2:14" s="105" customFormat="1" ht="24.95" customHeight="1" x14ac:dyDescent="0.2">
      <c r="B94" s="448" t="s">
        <v>171</v>
      </c>
      <c r="C94" s="449"/>
      <c r="D94" s="449"/>
      <c r="E94" s="428"/>
      <c r="F94" s="347"/>
      <c r="G94" s="289">
        <f>SUM(G95:G98)</f>
        <v>283390</v>
      </c>
      <c r="H94" s="22"/>
      <c r="J94" s="279"/>
      <c r="K94" s="218"/>
    </row>
    <row r="95" spans="2:14" s="22" customFormat="1" ht="17.45" customHeight="1" x14ac:dyDescent="0.2">
      <c r="B95" s="450" t="s">
        <v>166</v>
      </c>
      <c r="C95" s="451"/>
      <c r="D95" s="451"/>
      <c r="E95" s="429" t="s">
        <v>23</v>
      </c>
      <c r="F95" s="115" t="s">
        <v>23</v>
      </c>
      <c r="G95" s="288">
        <f>G38</f>
        <v>0</v>
      </c>
      <c r="H95" s="419" t="s">
        <v>274</v>
      </c>
      <c r="J95" s="287"/>
      <c r="K95" s="218"/>
    </row>
    <row r="96" spans="2:14" s="22" customFormat="1" ht="17.45" customHeight="1" x14ac:dyDescent="0.2">
      <c r="B96" s="450" t="s">
        <v>214</v>
      </c>
      <c r="C96" s="451"/>
      <c r="D96" s="451"/>
      <c r="E96" s="429" t="s">
        <v>23</v>
      </c>
      <c r="F96" s="115" t="s">
        <v>23</v>
      </c>
      <c r="G96" s="288">
        <f>G39</f>
        <v>284400</v>
      </c>
      <c r="H96" s="419" t="s">
        <v>275</v>
      </c>
      <c r="J96" s="215"/>
      <c r="K96" s="146"/>
    </row>
    <row r="97" spans="1:11" s="22" customFormat="1" ht="17.45" customHeight="1" x14ac:dyDescent="0.2">
      <c r="B97" s="450" t="s">
        <v>288</v>
      </c>
      <c r="C97" s="451"/>
      <c r="D97" s="451"/>
      <c r="E97" s="429" t="s">
        <v>23</v>
      </c>
      <c r="F97" s="115" t="s">
        <v>23</v>
      </c>
      <c r="G97" s="288">
        <f>G40</f>
        <v>-8300</v>
      </c>
      <c r="H97" s="419" t="s">
        <v>289</v>
      </c>
      <c r="J97" s="215"/>
      <c r="K97" s="146"/>
    </row>
    <row r="98" spans="1:11" s="123" customFormat="1" ht="17.45" customHeight="1" x14ac:dyDescent="0.2">
      <c r="A98" s="22"/>
      <c r="B98" s="450" t="s">
        <v>167</v>
      </c>
      <c r="C98" s="451"/>
      <c r="D98" s="451"/>
      <c r="E98" s="429" t="s">
        <v>23</v>
      </c>
      <c r="F98" s="115" t="s">
        <v>23</v>
      </c>
      <c r="G98" s="288">
        <f>G42</f>
        <v>7290</v>
      </c>
      <c r="H98" s="419" t="s">
        <v>273</v>
      </c>
      <c r="J98" s="218"/>
      <c r="K98" s="218"/>
    </row>
    <row r="99" spans="1:11" s="105" customFormat="1" ht="24.95" customHeight="1" x14ac:dyDescent="0.2">
      <c r="B99" s="448" t="s">
        <v>173</v>
      </c>
      <c r="C99" s="449"/>
      <c r="D99" s="449"/>
      <c r="E99" s="347"/>
      <c r="F99" s="347"/>
      <c r="G99" s="289">
        <f>SUM(G100:G102)</f>
        <v>227520</v>
      </c>
      <c r="J99" s="218"/>
      <c r="K99" s="218"/>
    </row>
    <row r="100" spans="1:11" s="123" customFormat="1" ht="17.45" customHeight="1" x14ac:dyDescent="0.2">
      <c r="A100" s="22"/>
      <c r="B100" s="452" t="s">
        <v>215</v>
      </c>
      <c r="C100" s="453"/>
      <c r="D100" s="453"/>
      <c r="E100" s="348">
        <v>1</v>
      </c>
      <c r="F100" s="115">
        <v>0.1</v>
      </c>
      <c r="G100" s="288">
        <f>G96*E100*F100</f>
        <v>28440</v>
      </c>
      <c r="H100" s="215"/>
      <c r="J100" s="215"/>
      <c r="K100"/>
    </row>
    <row r="101" spans="1:11" s="123" customFormat="1" ht="17.45" customHeight="1" x14ac:dyDescent="0.2">
      <c r="A101" s="22"/>
      <c r="B101" s="450" t="s">
        <v>217</v>
      </c>
      <c r="C101" s="451"/>
      <c r="D101" s="451"/>
      <c r="E101" s="350">
        <v>1</v>
      </c>
      <c r="F101" s="324">
        <v>0.5</v>
      </c>
      <c r="G101" s="288">
        <f>G96*E101*F101</f>
        <v>142200</v>
      </c>
      <c r="H101" s="105"/>
      <c r="J101" s="215"/>
    </row>
    <row r="102" spans="1:11" s="123" customFormat="1" ht="17.45" customHeight="1" thickBot="1" x14ac:dyDescent="0.25">
      <c r="A102" s="22"/>
      <c r="B102" s="454" t="s">
        <v>277</v>
      </c>
      <c r="C102" s="455"/>
      <c r="D102" s="455"/>
      <c r="E102" s="351">
        <v>1</v>
      </c>
      <c r="F102" s="352">
        <v>0.2</v>
      </c>
      <c r="G102" s="349">
        <f>G96*E102*F102</f>
        <v>56880</v>
      </c>
      <c r="H102" s="105"/>
    </row>
    <row r="103" spans="1:11" x14ac:dyDescent="0.2">
      <c r="I103" s="218"/>
    </row>
    <row r="104" spans="1:11" x14ac:dyDescent="0.2">
      <c r="I104" s="218"/>
    </row>
    <row r="105" spans="1:11" ht="15" customHeight="1" x14ac:dyDescent="0.2">
      <c r="B105" s="440" t="s">
        <v>216</v>
      </c>
      <c r="C105" s="441"/>
      <c r="D105" s="441"/>
      <c r="E105" s="441"/>
      <c r="F105" s="441"/>
      <c r="G105" s="442"/>
      <c r="I105" s="218"/>
    </row>
    <row r="106" spans="1:11" ht="15" customHeight="1" x14ac:dyDescent="0.2">
      <c r="B106" s="443" t="s">
        <v>276</v>
      </c>
      <c r="C106" s="444"/>
      <c r="D106" s="444"/>
      <c r="E106" s="444"/>
      <c r="F106" s="444"/>
      <c r="G106" s="445"/>
      <c r="I106" s="218"/>
    </row>
    <row r="107" spans="1:11" ht="27.75" customHeight="1" x14ac:dyDescent="0.2">
      <c r="B107" s="443"/>
      <c r="C107" s="444"/>
      <c r="D107" s="444"/>
      <c r="E107" s="444"/>
      <c r="F107" s="444"/>
      <c r="G107" s="445"/>
      <c r="I107" s="218"/>
    </row>
  </sheetData>
  <mergeCells count="28">
    <mergeCell ref="B87:H87"/>
    <mergeCell ref="B5:H5"/>
    <mergeCell ref="B21:H21"/>
    <mergeCell ref="B83:H83"/>
    <mergeCell ref="B71:C71"/>
    <mergeCell ref="B29:C29"/>
    <mergeCell ref="B37:C37"/>
    <mergeCell ref="B84:H84"/>
    <mergeCell ref="B3:H3"/>
    <mergeCell ref="C80:G80"/>
    <mergeCell ref="B23:C23"/>
    <mergeCell ref="B85:H85"/>
    <mergeCell ref="B86:H86"/>
    <mergeCell ref="B90:H90"/>
    <mergeCell ref="B105:G105"/>
    <mergeCell ref="B106:G107"/>
    <mergeCell ref="B92:D92"/>
    <mergeCell ref="B94:D94"/>
    <mergeCell ref="B95:D95"/>
    <mergeCell ref="B96:D96"/>
    <mergeCell ref="B98:D98"/>
    <mergeCell ref="B99:D99"/>
    <mergeCell ref="B100:D100"/>
    <mergeCell ref="B101:D101"/>
    <mergeCell ref="B102:D102"/>
    <mergeCell ref="B91:H91"/>
    <mergeCell ref="B93:D93"/>
    <mergeCell ref="B97:D97"/>
  </mergeCells>
  <phoneticPr fontId="5" type="noConversion"/>
  <pageMargins left="0.23622047244094491" right="0.19685039370078741" top="0.74803149606299213" bottom="0.74803149606299213" header="0.31496062992125984" footer="0.31496062992125984"/>
  <pageSetup paperSize="9" scale="44" orientation="landscape"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9B5E8-F21D-437D-84A8-F891B12D9723}">
  <sheetPr>
    <pageSetUpPr fitToPage="1"/>
  </sheetPr>
  <dimension ref="A1:N24"/>
  <sheetViews>
    <sheetView zoomScale="70" zoomScaleNormal="70" workbookViewId="0">
      <selection sqref="A1:XFD1"/>
    </sheetView>
  </sheetViews>
  <sheetFormatPr baseColWidth="10" defaultRowHeight="12.75" x14ac:dyDescent="0.2"/>
  <cols>
    <col min="1" max="1" width="3.7109375" customWidth="1"/>
    <col min="2" max="2" width="108.28515625" customWidth="1"/>
    <col min="3" max="3" width="21.42578125" customWidth="1"/>
    <col min="4" max="4" width="12.7109375" customWidth="1"/>
    <col min="5" max="6" width="15.7109375" customWidth="1"/>
    <col min="7" max="8" width="25.7109375" customWidth="1"/>
    <col min="9" max="9" width="105" style="184" customWidth="1"/>
    <col min="10" max="10" width="72.5703125" customWidth="1"/>
  </cols>
  <sheetData>
    <row r="1" spans="1:14" ht="15.75" thickBot="1" x14ac:dyDescent="0.25">
      <c r="B1" s="436" t="str">
        <f>'Budget global'!B1</f>
        <v>VILLE_Projet de xxxxxxxxxxxxxxxxxxxxxxxxxxxxxxxxxxxxxx</v>
      </c>
      <c r="C1" s="36" t="s">
        <v>90</v>
      </c>
      <c r="D1" s="82" t="str">
        <f>'Budget global'!D1</f>
        <v>XX-XX-XXXX</v>
      </c>
      <c r="F1" s="36"/>
      <c r="G1" s="82"/>
      <c r="H1" s="36"/>
      <c r="I1"/>
    </row>
    <row r="2" spans="1:14" ht="15" customHeight="1" thickBot="1" x14ac:dyDescent="0.25">
      <c r="B2" s="35"/>
      <c r="C2" s="95"/>
      <c r="D2" s="95"/>
      <c r="E2" s="95"/>
      <c r="F2" s="95"/>
      <c r="G2" s="96"/>
    </row>
    <row r="3" spans="1:14" s="147" customFormat="1" ht="20.100000000000001" customHeight="1" thickBot="1" x14ac:dyDescent="0.25">
      <c r="B3" s="459" t="s">
        <v>236</v>
      </c>
      <c r="C3" s="460"/>
      <c r="D3" s="460"/>
      <c r="E3" s="460"/>
      <c r="F3" s="460"/>
      <c r="G3" s="460"/>
      <c r="H3" s="461"/>
      <c r="I3" s="185"/>
      <c r="J3"/>
      <c r="K3" s="22"/>
      <c r="L3" s="148"/>
      <c r="M3" s="22"/>
      <c r="N3" s="22"/>
    </row>
    <row r="4" spans="1:14" s="56" customFormat="1" ht="48" customHeight="1" thickBot="1" x14ac:dyDescent="0.25">
      <c r="B4" s="473" t="s">
        <v>251</v>
      </c>
      <c r="C4" s="474"/>
      <c r="D4" s="474"/>
      <c r="E4" s="474"/>
      <c r="F4" s="474"/>
      <c r="G4" s="474"/>
      <c r="H4" s="475"/>
      <c r="I4" s="184"/>
      <c r="J4"/>
      <c r="K4"/>
      <c r="L4"/>
      <c r="M4"/>
      <c r="N4"/>
    </row>
    <row r="5" spans="1:14" s="132" customFormat="1" ht="111.75" customHeight="1" thickBot="1" x14ac:dyDescent="0.35">
      <c r="B5" s="477" t="s">
        <v>278</v>
      </c>
      <c r="C5" s="478"/>
      <c r="D5" s="478"/>
      <c r="E5" s="478"/>
      <c r="F5" s="478"/>
      <c r="G5" s="478"/>
      <c r="H5" s="479"/>
      <c r="I5" s="184"/>
      <c r="J5" s="232"/>
      <c r="K5" s="232"/>
      <c r="L5" s="145"/>
      <c r="M5" s="139"/>
      <c r="N5" s="139"/>
    </row>
    <row r="6" spans="1:14" s="135" customFormat="1" ht="15.75" thickBot="1" x14ac:dyDescent="0.25">
      <c r="B6" s="372"/>
      <c r="C6" s="373"/>
      <c r="D6" s="374"/>
      <c r="E6" s="375"/>
      <c r="F6" s="356"/>
      <c r="G6" s="356"/>
      <c r="H6" s="376"/>
      <c r="J6" s="136"/>
    </row>
    <row r="7" spans="1:14" s="135" customFormat="1" ht="15" x14ac:dyDescent="0.2">
      <c r="B7" s="364" t="s">
        <v>195</v>
      </c>
      <c r="C7" s="365" t="s">
        <v>238</v>
      </c>
      <c r="D7" s="366" t="s">
        <v>112</v>
      </c>
      <c r="E7" s="367">
        <v>1</v>
      </c>
      <c r="F7" s="368"/>
      <c r="G7" s="369" t="s">
        <v>193</v>
      </c>
      <c r="H7" s="370"/>
      <c r="I7" s="283"/>
      <c r="J7" s="136"/>
    </row>
    <row r="8" spans="1:14" s="135" customFormat="1" ht="15.75" thickBot="1" x14ac:dyDescent="0.25">
      <c r="B8" s="357"/>
      <c r="C8" s="358"/>
      <c r="D8" s="359" t="s">
        <v>113</v>
      </c>
      <c r="E8" s="360">
        <v>1</v>
      </c>
      <c r="F8" s="361"/>
      <c r="G8" s="362">
        <f>'Budget global'!G64</f>
        <v>2365900</v>
      </c>
      <c r="H8" s="371"/>
      <c r="I8" s="283" t="s">
        <v>237</v>
      </c>
      <c r="J8" s="136"/>
    </row>
    <row r="9" spans="1:14" s="135" customFormat="1" ht="15.75" thickBot="1" x14ac:dyDescent="0.25">
      <c r="B9" s="372"/>
      <c r="C9" s="373"/>
      <c r="D9" s="374"/>
      <c r="E9" s="375"/>
      <c r="F9" s="356"/>
      <c r="G9" s="356"/>
      <c r="H9" s="376"/>
      <c r="J9" s="136"/>
    </row>
    <row r="10" spans="1:14" s="135" customFormat="1" ht="15" x14ac:dyDescent="0.2">
      <c r="A10" s="314"/>
      <c r="B10" s="364" t="s">
        <v>196</v>
      </c>
      <c r="C10" s="365" t="s">
        <v>238</v>
      </c>
      <c r="D10" s="366" t="s">
        <v>190</v>
      </c>
      <c r="E10" s="367">
        <v>1</v>
      </c>
      <c r="F10" s="368"/>
      <c r="G10" s="377" t="s">
        <v>194</v>
      </c>
      <c r="H10" s="370" t="s">
        <v>192</v>
      </c>
      <c r="J10" s="136"/>
    </row>
    <row r="11" spans="1:14" s="135" customFormat="1" ht="15.75" thickBot="1" x14ac:dyDescent="0.25">
      <c r="B11" s="357"/>
      <c r="C11" s="358"/>
      <c r="D11" s="359" t="s">
        <v>191</v>
      </c>
      <c r="E11" s="360">
        <v>1</v>
      </c>
      <c r="F11" s="361"/>
      <c r="G11" s="362">
        <f>1*(G8* (0.4*(E10/E7)+0.4*(E11/E8)+0.2))</f>
        <v>2365900</v>
      </c>
      <c r="H11" s="363">
        <f>G11-G8</f>
        <v>0</v>
      </c>
      <c r="I11" s="283" t="s">
        <v>239</v>
      </c>
      <c r="J11" s="136"/>
    </row>
    <row r="13" spans="1:14" x14ac:dyDescent="0.2">
      <c r="C13" s="112" t="s">
        <v>255</v>
      </c>
      <c r="D13" s="214"/>
      <c r="E13" s="214" t="s">
        <v>256</v>
      </c>
    </row>
    <row r="14" spans="1:14" ht="15" customHeight="1" x14ac:dyDescent="0.2">
      <c r="C14" s="214"/>
      <c r="D14" s="214"/>
      <c r="E14" s="332" t="s">
        <v>241</v>
      </c>
    </row>
    <row r="17" spans="1:13" s="56" customFormat="1" ht="20.100000000000001" customHeight="1" x14ac:dyDescent="0.2">
      <c r="B17" s="476" t="s">
        <v>240</v>
      </c>
      <c r="C17" s="476"/>
      <c r="D17" s="476"/>
      <c r="E17" s="476"/>
      <c r="F17" s="476"/>
      <c r="G17" s="476"/>
      <c r="H17" s="476"/>
      <c r="I17" s="231"/>
      <c r="J17" s="231"/>
      <c r="K17" s="231"/>
      <c r="L17"/>
      <c r="M17"/>
    </row>
    <row r="18" spans="1:13" s="135" customFormat="1" ht="15" x14ac:dyDescent="0.2">
      <c r="B18" s="400" t="s">
        <v>242</v>
      </c>
      <c r="C18" s="406">
        <v>45170</v>
      </c>
      <c r="D18" s="400" t="s">
        <v>112</v>
      </c>
      <c r="E18" s="402">
        <v>36.808</v>
      </c>
      <c r="F18" s="403"/>
      <c r="G18" s="407" t="s">
        <v>193</v>
      </c>
      <c r="H18" s="408"/>
      <c r="I18" s="184"/>
      <c r="J18" s="136"/>
    </row>
    <row r="19" spans="1:13" s="135" customFormat="1" ht="15" x14ac:dyDescent="0.2">
      <c r="B19" s="400"/>
      <c r="C19" s="401"/>
      <c r="D19" s="400" t="s">
        <v>113</v>
      </c>
      <c r="E19" s="402">
        <v>138.85</v>
      </c>
      <c r="F19" s="403"/>
      <c r="G19" s="404">
        <v>2345000</v>
      </c>
      <c r="H19" s="404"/>
      <c r="I19" s="184"/>
      <c r="J19" s="136"/>
    </row>
    <row r="20" spans="1:13" s="135" customFormat="1" ht="15" x14ac:dyDescent="0.2">
      <c r="B20" s="400"/>
      <c r="C20" s="401"/>
      <c r="D20" s="400"/>
      <c r="E20" s="402"/>
      <c r="F20" s="409"/>
      <c r="G20" s="409"/>
      <c r="H20" s="403"/>
      <c r="I20" s="184"/>
      <c r="J20" s="136"/>
    </row>
    <row r="21" spans="1:13" s="135" customFormat="1" ht="15" x14ac:dyDescent="0.2">
      <c r="A21" s="399"/>
      <c r="B21" s="400" t="s">
        <v>243</v>
      </c>
      <c r="C21" s="406">
        <v>45474</v>
      </c>
      <c r="D21" s="400" t="s">
        <v>190</v>
      </c>
      <c r="E21" s="402">
        <v>37.941000000000003</v>
      </c>
      <c r="F21" s="403"/>
      <c r="G21" s="408" t="s">
        <v>194</v>
      </c>
      <c r="H21" s="408" t="s">
        <v>192</v>
      </c>
      <c r="I21" s="184"/>
      <c r="J21" s="136"/>
    </row>
    <row r="22" spans="1:13" s="135" customFormat="1" ht="15" x14ac:dyDescent="0.2">
      <c r="B22" s="400"/>
      <c r="C22" s="401"/>
      <c r="D22" s="400" t="s">
        <v>191</v>
      </c>
      <c r="E22" s="402">
        <v>142.02000000000001</v>
      </c>
      <c r="F22" s="403"/>
      <c r="G22" s="404">
        <f>(G19* (0.4*(E21/E18)+0.4*(E22/E19)+0.2))</f>
        <v>2395287.8162377537</v>
      </c>
      <c r="H22" s="405">
        <f>G22-G19</f>
        <v>50287.816237753723</v>
      </c>
      <c r="J22" s="136"/>
    </row>
    <row r="23" spans="1:13" ht="15" customHeight="1" x14ac:dyDescent="0.2"/>
    <row r="24" spans="1:13" ht="15" customHeight="1" x14ac:dyDescent="0.2"/>
  </sheetData>
  <mergeCells count="4">
    <mergeCell ref="B4:H4"/>
    <mergeCell ref="B17:H17"/>
    <mergeCell ref="B5:H5"/>
    <mergeCell ref="B3:H3"/>
  </mergeCells>
  <pageMargins left="0.23622047244094491" right="0.19685039370078741" top="0.74803149606299213" bottom="0.74803149606299213" header="0.31496062992125984" footer="0.31496062992125984"/>
  <pageSetup paperSize="9" scale="44" orientation="landscape"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41"/>
  <sheetViews>
    <sheetView topLeftCell="A23" zoomScale="85" zoomScaleNormal="85" zoomScaleSheetLayoutView="100" workbookViewId="0">
      <selection activeCell="C38" sqref="C38"/>
    </sheetView>
  </sheetViews>
  <sheetFormatPr baseColWidth="10" defaultRowHeight="12.75" x14ac:dyDescent="0.2"/>
  <cols>
    <col min="1" max="1" width="2.42578125" customWidth="1"/>
    <col min="2" max="2" width="70.85546875" customWidth="1"/>
    <col min="3" max="3" width="9.85546875" customWidth="1"/>
    <col min="4" max="4" width="23.85546875" customWidth="1"/>
    <col min="5" max="5" width="21.42578125" customWidth="1"/>
    <col min="6" max="6" width="17.42578125" customWidth="1"/>
    <col min="7" max="7" width="23.7109375" customWidth="1"/>
    <col min="8" max="8" width="22.28515625" customWidth="1"/>
    <col min="9" max="9" width="41.28515625" customWidth="1"/>
    <col min="10" max="10" width="38.7109375" customWidth="1"/>
    <col min="11" max="11" width="15" customWidth="1"/>
    <col min="12" max="12" width="10.28515625" customWidth="1"/>
    <col min="13" max="13" width="13.140625" customWidth="1"/>
    <col min="16" max="16" width="10.28515625" customWidth="1"/>
    <col min="17" max="17" width="13.140625" customWidth="1"/>
    <col min="18" max="18" width="18.7109375" customWidth="1"/>
    <col min="256" max="257" width="2.42578125" customWidth="1"/>
    <col min="258" max="258" width="53.140625" customWidth="1"/>
    <col min="259" max="259" width="9.85546875" customWidth="1"/>
    <col min="260" max="261" width="18.7109375" customWidth="1"/>
    <col min="262" max="262" width="2.42578125" customWidth="1"/>
    <col min="263" max="263" width="23.7109375" customWidth="1"/>
    <col min="264" max="264" width="19.7109375" customWidth="1"/>
    <col min="265" max="265" width="13.140625" customWidth="1"/>
    <col min="266" max="266" width="14.140625" customWidth="1"/>
    <col min="267" max="267" width="15" customWidth="1"/>
    <col min="268" max="268" width="10.28515625" customWidth="1"/>
    <col min="269" max="269" width="13.140625" customWidth="1"/>
    <col min="272" max="272" width="10.28515625" customWidth="1"/>
    <col min="273" max="273" width="13.140625" customWidth="1"/>
    <col min="274" max="274" width="18.7109375" customWidth="1"/>
    <col min="512" max="513" width="2.42578125" customWidth="1"/>
    <col min="514" max="514" width="53.140625" customWidth="1"/>
    <col min="515" max="515" width="9.85546875" customWidth="1"/>
    <col min="516" max="517" width="18.7109375" customWidth="1"/>
    <col min="518" max="518" width="2.42578125" customWidth="1"/>
    <col min="519" max="519" width="23.7109375" customWidth="1"/>
    <col min="520" max="520" width="19.7109375" customWidth="1"/>
    <col min="521" max="521" width="13.140625" customWidth="1"/>
    <col min="522" max="522" width="14.140625" customWidth="1"/>
    <col min="523" max="523" width="15" customWidth="1"/>
    <col min="524" max="524" width="10.28515625" customWidth="1"/>
    <col min="525" max="525" width="13.140625" customWidth="1"/>
    <col min="528" max="528" width="10.28515625" customWidth="1"/>
    <col min="529" max="529" width="13.140625" customWidth="1"/>
    <col min="530" max="530" width="18.7109375" customWidth="1"/>
    <col min="768" max="769" width="2.42578125" customWidth="1"/>
    <col min="770" max="770" width="53.140625" customWidth="1"/>
    <col min="771" max="771" width="9.85546875" customWidth="1"/>
    <col min="772" max="773" width="18.7109375" customWidth="1"/>
    <col min="774" max="774" width="2.42578125" customWidth="1"/>
    <col min="775" max="775" width="23.7109375" customWidth="1"/>
    <col min="776" max="776" width="19.7109375" customWidth="1"/>
    <col min="777" max="777" width="13.140625" customWidth="1"/>
    <col min="778" max="778" width="14.140625" customWidth="1"/>
    <col min="779" max="779" width="15" customWidth="1"/>
    <col min="780" max="780" width="10.28515625" customWidth="1"/>
    <col min="781" max="781" width="13.140625" customWidth="1"/>
    <col min="784" max="784" width="10.28515625" customWidth="1"/>
    <col min="785" max="785" width="13.140625" customWidth="1"/>
    <col min="786" max="786" width="18.7109375" customWidth="1"/>
    <col min="1024" max="1025" width="2.42578125" customWidth="1"/>
    <col min="1026" max="1026" width="53.140625" customWidth="1"/>
    <col min="1027" max="1027" width="9.85546875" customWidth="1"/>
    <col min="1028" max="1029" width="18.7109375" customWidth="1"/>
    <col min="1030" max="1030" width="2.42578125" customWidth="1"/>
    <col min="1031" max="1031" width="23.7109375" customWidth="1"/>
    <col min="1032" max="1032" width="19.7109375" customWidth="1"/>
    <col min="1033" max="1033" width="13.140625" customWidth="1"/>
    <col min="1034" max="1034" width="14.140625" customWidth="1"/>
    <col min="1035" max="1035" width="15" customWidth="1"/>
    <col min="1036" max="1036" width="10.28515625" customWidth="1"/>
    <col min="1037" max="1037" width="13.140625" customWidth="1"/>
    <col min="1040" max="1040" width="10.28515625" customWidth="1"/>
    <col min="1041" max="1041" width="13.140625" customWidth="1"/>
    <col min="1042" max="1042" width="18.7109375" customWidth="1"/>
    <col min="1280" max="1281" width="2.42578125" customWidth="1"/>
    <col min="1282" max="1282" width="53.140625" customWidth="1"/>
    <col min="1283" max="1283" width="9.85546875" customWidth="1"/>
    <col min="1284" max="1285" width="18.7109375" customWidth="1"/>
    <col min="1286" max="1286" width="2.42578125" customWidth="1"/>
    <col min="1287" max="1287" width="23.7109375" customWidth="1"/>
    <col min="1288" max="1288" width="19.7109375" customWidth="1"/>
    <col min="1289" max="1289" width="13.140625" customWidth="1"/>
    <col min="1290" max="1290" width="14.140625" customWidth="1"/>
    <col min="1291" max="1291" width="15" customWidth="1"/>
    <col min="1292" max="1292" width="10.28515625" customWidth="1"/>
    <col min="1293" max="1293" width="13.140625" customWidth="1"/>
    <col min="1296" max="1296" width="10.28515625" customWidth="1"/>
    <col min="1297" max="1297" width="13.140625" customWidth="1"/>
    <col min="1298" max="1298" width="18.7109375" customWidth="1"/>
    <col min="1536" max="1537" width="2.42578125" customWidth="1"/>
    <col min="1538" max="1538" width="53.140625" customWidth="1"/>
    <col min="1539" max="1539" width="9.85546875" customWidth="1"/>
    <col min="1540" max="1541" width="18.7109375" customWidth="1"/>
    <col min="1542" max="1542" width="2.42578125" customWidth="1"/>
    <col min="1543" max="1543" width="23.7109375" customWidth="1"/>
    <col min="1544" max="1544" width="19.7109375" customWidth="1"/>
    <col min="1545" max="1545" width="13.140625" customWidth="1"/>
    <col min="1546" max="1546" width="14.140625" customWidth="1"/>
    <col min="1547" max="1547" width="15" customWidth="1"/>
    <col min="1548" max="1548" width="10.28515625" customWidth="1"/>
    <col min="1549" max="1549" width="13.140625" customWidth="1"/>
    <col min="1552" max="1552" width="10.28515625" customWidth="1"/>
    <col min="1553" max="1553" width="13.140625" customWidth="1"/>
    <col min="1554" max="1554" width="18.7109375" customWidth="1"/>
    <col min="1792" max="1793" width="2.42578125" customWidth="1"/>
    <col min="1794" max="1794" width="53.140625" customWidth="1"/>
    <col min="1795" max="1795" width="9.85546875" customWidth="1"/>
    <col min="1796" max="1797" width="18.7109375" customWidth="1"/>
    <col min="1798" max="1798" width="2.42578125" customWidth="1"/>
    <col min="1799" max="1799" width="23.7109375" customWidth="1"/>
    <col min="1800" max="1800" width="19.7109375" customWidth="1"/>
    <col min="1801" max="1801" width="13.140625" customWidth="1"/>
    <col min="1802" max="1802" width="14.140625" customWidth="1"/>
    <col min="1803" max="1803" width="15" customWidth="1"/>
    <col min="1804" max="1804" width="10.28515625" customWidth="1"/>
    <col min="1805" max="1805" width="13.140625" customWidth="1"/>
    <col min="1808" max="1808" width="10.28515625" customWidth="1"/>
    <col min="1809" max="1809" width="13.140625" customWidth="1"/>
    <col min="1810" max="1810" width="18.7109375" customWidth="1"/>
    <col min="2048" max="2049" width="2.42578125" customWidth="1"/>
    <col min="2050" max="2050" width="53.140625" customWidth="1"/>
    <col min="2051" max="2051" width="9.85546875" customWidth="1"/>
    <col min="2052" max="2053" width="18.7109375" customWidth="1"/>
    <col min="2054" max="2054" width="2.42578125" customWidth="1"/>
    <col min="2055" max="2055" width="23.7109375" customWidth="1"/>
    <col min="2056" max="2056" width="19.7109375" customWidth="1"/>
    <col min="2057" max="2057" width="13.140625" customWidth="1"/>
    <col min="2058" max="2058" width="14.140625" customWidth="1"/>
    <col min="2059" max="2059" width="15" customWidth="1"/>
    <col min="2060" max="2060" width="10.28515625" customWidth="1"/>
    <col min="2061" max="2061" width="13.140625" customWidth="1"/>
    <col min="2064" max="2064" width="10.28515625" customWidth="1"/>
    <col min="2065" max="2065" width="13.140625" customWidth="1"/>
    <col min="2066" max="2066" width="18.7109375" customWidth="1"/>
    <col min="2304" max="2305" width="2.42578125" customWidth="1"/>
    <col min="2306" max="2306" width="53.140625" customWidth="1"/>
    <col min="2307" max="2307" width="9.85546875" customWidth="1"/>
    <col min="2308" max="2309" width="18.7109375" customWidth="1"/>
    <col min="2310" max="2310" width="2.42578125" customWidth="1"/>
    <col min="2311" max="2311" width="23.7109375" customWidth="1"/>
    <col min="2312" max="2312" width="19.7109375" customWidth="1"/>
    <col min="2313" max="2313" width="13.140625" customWidth="1"/>
    <col min="2314" max="2314" width="14.140625" customWidth="1"/>
    <col min="2315" max="2315" width="15" customWidth="1"/>
    <col min="2316" max="2316" width="10.28515625" customWidth="1"/>
    <col min="2317" max="2317" width="13.140625" customWidth="1"/>
    <col min="2320" max="2320" width="10.28515625" customWidth="1"/>
    <col min="2321" max="2321" width="13.140625" customWidth="1"/>
    <col min="2322" max="2322" width="18.7109375" customWidth="1"/>
    <col min="2560" max="2561" width="2.42578125" customWidth="1"/>
    <col min="2562" max="2562" width="53.140625" customWidth="1"/>
    <col min="2563" max="2563" width="9.85546875" customWidth="1"/>
    <col min="2564" max="2565" width="18.7109375" customWidth="1"/>
    <col min="2566" max="2566" width="2.42578125" customWidth="1"/>
    <col min="2567" max="2567" width="23.7109375" customWidth="1"/>
    <col min="2568" max="2568" width="19.7109375" customWidth="1"/>
    <col min="2569" max="2569" width="13.140625" customWidth="1"/>
    <col min="2570" max="2570" width="14.140625" customWidth="1"/>
    <col min="2571" max="2571" width="15" customWidth="1"/>
    <col min="2572" max="2572" width="10.28515625" customWidth="1"/>
    <col min="2573" max="2573" width="13.140625" customWidth="1"/>
    <col min="2576" max="2576" width="10.28515625" customWidth="1"/>
    <col min="2577" max="2577" width="13.140625" customWidth="1"/>
    <col min="2578" max="2578" width="18.7109375" customWidth="1"/>
    <col min="2816" max="2817" width="2.42578125" customWidth="1"/>
    <col min="2818" max="2818" width="53.140625" customWidth="1"/>
    <col min="2819" max="2819" width="9.85546875" customWidth="1"/>
    <col min="2820" max="2821" width="18.7109375" customWidth="1"/>
    <col min="2822" max="2822" width="2.42578125" customWidth="1"/>
    <col min="2823" max="2823" width="23.7109375" customWidth="1"/>
    <col min="2824" max="2824" width="19.7109375" customWidth="1"/>
    <col min="2825" max="2825" width="13.140625" customWidth="1"/>
    <col min="2826" max="2826" width="14.140625" customWidth="1"/>
    <col min="2827" max="2827" width="15" customWidth="1"/>
    <col min="2828" max="2828" width="10.28515625" customWidth="1"/>
    <col min="2829" max="2829" width="13.140625" customWidth="1"/>
    <col min="2832" max="2832" width="10.28515625" customWidth="1"/>
    <col min="2833" max="2833" width="13.140625" customWidth="1"/>
    <col min="2834" max="2834" width="18.7109375" customWidth="1"/>
    <col min="3072" max="3073" width="2.42578125" customWidth="1"/>
    <col min="3074" max="3074" width="53.140625" customWidth="1"/>
    <col min="3075" max="3075" width="9.85546875" customWidth="1"/>
    <col min="3076" max="3077" width="18.7109375" customWidth="1"/>
    <col min="3078" max="3078" width="2.42578125" customWidth="1"/>
    <col min="3079" max="3079" width="23.7109375" customWidth="1"/>
    <col min="3080" max="3080" width="19.7109375" customWidth="1"/>
    <col min="3081" max="3081" width="13.140625" customWidth="1"/>
    <col min="3082" max="3082" width="14.140625" customWidth="1"/>
    <col min="3083" max="3083" width="15" customWidth="1"/>
    <col min="3084" max="3084" width="10.28515625" customWidth="1"/>
    <col min="3085" max="3085" width="13.140625" customWidth="1"/>
    <col min="3088" max="3088" width="10.28515625" customWidth="1"/>
    <col min="3089" max="3089" width="13.140625" customWidth="1"/>
    <col min="3090" max="3090" width="18.7109375" customWidth="1"/>
    <col min="3328" max="3329" width="2.42578125" customWidth="1"/>
    <col min="3330" max="3330" width="53.140625" customWidth="1"/>
    <col min="3331" max="3331" width="9.85546875" customWidth="1"/>
    <col min="3332" max="3333" width="18.7109375" customWidth="1"/>
    <col min="3334" max="3334" width="2.42578125" customWidth="1"/>
    <col min="3335" max="3335" width="23.7109375" customWidth="1"/>
    <col min="3336" max="3336" width="19.7109375" customWidth="1"/>
    <col min="3337" max="3337" width="13.140625" customWidth="1"/>
    <col min="3338" max="3338" width="14.140625" customWidth="1"/>
    <col min="3339" max="3339" width="15" customWidth="1"/>
    <col min="3340" max="3340" width="10.28515625" customWidth="1"/>
    <col min="3341" max="3341" width="13.140625" customWidth="1"/>
    <col min="3344" max="3344" width="10.28515625" customWidth="1"/>
    <col min="3345" max="3345" width="13.140625" customWidth="1"/>
    <col min="3346" max="3346" width="18.7109375" customWidth="1"/>
    <col min="3584" max="3585" width="2.42578125" customWidth="1"/>
    <col min="3586" max="3586" width="53.140625" customWidth="1"/>
    <col min="3587" max="3587" width="9.85546875" customWidth="1"/>
    <col min="3588" max="3589" width="18.7109375" customWidth="1"/>
    <col min="3590" max="3590" width="2.42578125" customWidth="1"/>
    <col min="3591" max="3591" width="23.7109375" customWidth="1"/>
    <col min="3592" max="3592" width="19.7109375" customWidth="1"/>
    <col min="3593" max="3593" width="13.140625" customWidth="1"/>
    <col min="3594" max="3594" width="14.140625" customWidth="1"/>
    <col min="3595" max="3595" width="15" customWidth="1"/>
    <col min="3596" max="3596" width="10.28515625" customWidth="1"/>
    <col min="3597" max="3597" width="13.140625" customWidth="1"/>
    <col min="3600" max="3600" width="10.28515625" customWidth="1"/>
    <col min="3601" max="3601" width="13.140625" customWidth="1"/>
    <col min="3602" max="3602" width="18.7109375" customWidth="1"/>
    <col min="3840" max="3841" width="2.42578125" customWidth="1"/>
    <col min="3842" max="3842" width="53.140625" customWidth="1"/>
    <col min="3843" max="3843" width="9.85546875" customWidth="1"/>
    <col min="3844" max="3845" width="18.7109375" customWidth="1"/>
    <col min="3846" max="3846" width="2.42578125" customWidth="1"/>
    <col min="3847" max="3847" width="23.7109375" customWidth="1"/>
    <col min="3848" max="3848" width="19.7109375" customWidth="1"/>
    <col min="3849" max="3849" width="13.140625" customWidth="1"/>
    <col min="3850" max="3850" width="14.140625" customWidth="1"/>
    <col min="3851" max="3851" width="15" customWidth="1"/>
    <col min="3852" max="3852" width="10.28515625" customWidth="1"/>
    <col min="3853" max="3853" width="13.140625" customWidth="1"/>
    <col min="3856" max="3856" width="10.28515625" customWidth="1"/>
    <col min="3857" max="3857" width="13.140625" customWidth="1"/>
    <col min="3858" max="3858" width="18.7109375" customWidth="1"/>
    <col min="4096" max="4097" width="2.42578125" customWidth="1"/>
    <col min="4098" max="4098" width="53.140625" customWidth="1"/>
    <col min="4099" max="4099" width="9.85546875" customWidth="1"/>
    <col min="4100" max="4101" width="18.7109375" customWidth="1"/>
    <col min="4102" max="4102" width="2.42578125" customWidth="1"/>
    <col min="4103" max="4103" width="23.7109375" customWidth="1"/>
    <col min="4104" max="4104" width="19.7109375" customWidth="1"/>
    <col min="4105" max="4105" width="13.140625" customWidth="1"/>
    <col min="4106" max="4106" width="14.140625" customWidth="1"/>
    <col min="4107" max="4107" width="15" customWidth="1"/>
    <col min="4108" max="4108" width="10.28515625" customWidth="1"/>
    <col min="4109" max="4109" width="13.140625" customWidth="1"/>
    <col min="4112" max="4112" width="10.28515625" customWidth="1"/>
    <col min="4113" max="4113" width="13.140625" customWidth="1"/>
    <col min="4114" max="4114" width="18.7109375" customWidth="1"/>
    <col min="4352" max="4353" width="2.42578125" customWidth="1"/>
    <col min="4354" max="4354" width="53.140625" customWidth="1"/>
    <col min="4355" max="4355" width="9.85546875" customWidth="1"/>
    <col min="4356" max="4357" width="18.7109375" customWidth="1"/>
    <col min="4358" max="4358" width="2.42578125" customWidth="1"/>
    <col min="4359" max="4359" width="23.7109375" customWidth="1"/>
    <col min="4360" max="4360" width="19.7109375" customWidth="1"/>
    <col min="4361" max="4361" width="13.140625" customWidth="1"/>
    <col min="4362" max="4362" width="14.140625" customWidth="1"/>
    <col min="4363" max="4363" width="15" customWidth="1"/>
    <col min="4364" max="4364" width="10.28515625" customWidth="1"/>
    <col min="4365" max="4365" width="13.140625" customWidth="1"/>
    <col min="4368" max="4368" width="10.28515625" customWidth="1"/>
    <col min="4369" max="4369" width="13.140625" customWidth="1"/>
    <col min="4370" max="4370" width="18.7109375" customWidth="1"/>
    <col min="4608" max="4609" width="2.42578125" customWidth="1"/>
    <col min="4610" max="4610" width="53.140625" customWidth="1"/>
    <col min="4611" max="4611" width="9.85546875" customWidth="1"/>
    <col min="4612" max="4613" width="18.7109375" customWidth="1"/>
    <col min="4614" max="4614" width="2.42578125" customWidth="1"/>
    <col min="4615" max="4615" width="23.7109375" customWidth="1"/>
    <col min="4616" max="4616" width="19.7109375" customWidth="1"/>
    <col min="4617" max="4617" width="13.140625" customWidth="1"/>
    <col min="4618" max="4618" width="14.140625" customWidth="1"/>
    <col min="4619" max="4619" width="15" customWidth="1"/>
    <col min="4620" max="4620" width="10.28515625" customWidth="1"/>
    <col min="4621" max="4621" width="13.140625" customWidth="1"/>
    <col min="4624" max="4624" width="10.28515625" customWidth="1"/>
    <col min="4625" max="4625" width="13.140625" customWidth="1"/>
    <col min="4626" max="4626" width="18.7109375" customWidth="1"/>
    <col min="4864" max="4865" width="2.42578125" customWidth="1"/>
    <col min="4866" max="4866" width="53.140625" customWidth="1"/>
    <col min="4867" max="4867" width="9.85546875" customWidth="1"/>
    <col min="4868" max="4869" width="18.7109375" customWidth="1"/>
    <col min="4870" max="4870" width="2.42578125" customWidth="1"/>
    <col min="4871" max="4871" width="23.7109375" customWidth="1"/>
    <col min="4872" max="4872" width="19.7109375" customWidth="1"/>
    <col min="4873" max="4873" width="13.140625" customWidth="1"/>
    <col min="4874" max="4874" width="14.140625" customWidth="1"/>
    <col min="4875" max="4875" width="15" customWidth="1"/>
    <col min="4876" max="4876" width="10.28515625" customWidth="1"/>
    <col min="4877" max="4877" width="13.140625" customWidth="1"/>
    <col min="4880" max="4880" width="10.28515625" customWidth="1"/>
    <col min="4881" max="4881" width="13.140625" customWidth="1"/>
    <col min="4882" max="4882" width="18.7109375" customWidth="1"/>
    <col min="5120" max="5121" width="2.42578125" customWidth="1"/>
    <col min="5122" max="5122" width="53.140625" customWidth="1"/>
    <col min="5123" max="5123" width="9.85546875" customWidth="1"/>
    <col min="5124" max="5125" width="18.7109375" customWidth="1"/>
    <col min="5126" max="5126" width="2.42578125" customWidth="1"/>
    <col min="5127" max="5127" width="23.7109375" customWidth="1"/>
    <col min="5128" max="5128" width="19.7109375" customWidth="1"/>
    <col min="5129" max="5129" width="13.140625" customWidth="1"/>
    <col min="5130" max="5130" width="14.140625" customWidth="1"/>
    <col min="5131" max="5131" width="15" customWidth="1"/>
    <col min="5132" max="5132" width="10.28515625" customWidth="1"/>
    <col min="5133" max="5133" width="13.140625" customWidth="1"/>
    <col min="5136" max="5136" width="10.28515625" customWidth="1"/>
    <col min="5137" max="5137" width="13.140625" customWidth="1"/>
    <col min="5138" max="5138" width="18.7109375" customWidth="1"/>
    <col min="5376" max="5377" width="2.42578125" customWidth="1"/>
    <col min="5378" max="5378" width="53.140625" customWidth="1"/>
    <col min="5379" max="5379" width="9.85546875" customWidth="1"/>
    <col min="5380" max="5381" width="18.7109375" customWidth="1"/>
    <col min="5382" max="5382" width="2.42578125" customWidth="1"/>
    <col min="5383" max="5383" width="23.7109375" customWidth="1"/>
    <col min="5384" max="5384" width="19.7109375" customWidth="1"/>
    <col min="5385" max="5385" width="13.140625" customWidth="1"/>
    <col min="5386" max="5386" width="14.140625" customWidth="1"/>
    <col min="5387" max="5387" width="15" customWidth="1"/>
    <col min="5388" max="5388" width="10.28515625" customWidth="1"/>
    <col min="5389" max="5389" width="13.140625" customWidth="1"/>
    <col min="5392" max="5392" width="10.28515625" customWidth="1"/>
    <col min="5393" max="5393" width="13.140625" customWidth="1"/>
    <col min="5394" max="5394" width="18.7109375" customWidth="1"/>
    <col min="5632" max="5633" width="2.42578125" customWidth="1"/>
    <col min="5634" max="5634" width="53.140625" customWidth="1"/>
    <col min="5635" max="5635" width="9.85546875" customWidth="1"/>
    <col min="5636" max="5637" width="18.7109375" customWidth="1"/>
    <col min="5638" max="5638" width="2.42578125" customWidth="1"/>
    <col min="5639" max="5639" width="23.7109375" customWidth="1"/>
    <col min="5640" max="5640" width="19.7109375" customWidth="1"/>
    <col min="5641" max="5641" width="13.140625" customWidth="1"/>
    <col min="5642" max="5642" width="14.140625" customWidth="1"/>
    <col min="5643" max="5643" width="15" customWidth="1"/>
    <col min="5644" max="5644" width="10.28515625" customWidth="1"/>
    <col min="5645" max="5645" width="13.140625" customWidth="1"/>
    <col min="5648" max="5648" width="10.28515625" customWidth="1"/>
    <col min="5649" max="5649" width="13.140625" customWidth="1"/>
    <col min="5650" max="5650" width="18.7109375" customWidth="1"/>
    <col min="5888" max="5889" width="2.42578125" customWidth="1"/>
    <col min="5890" max="5890" width="53.140625" customWidth="1"/>
    <col min="5891" max="5891" width="9.85546875" customWidth="1"/>
    <col min="5892" max="5893" width="18.7109375" customWidth="1"/>
    <col min="5894" max="5894" width="2.42578125" customWidth="1"/>
    <col min="5895" max="5895" width="23.7109375" customWidth="1"/>
    <col min="5896" max="5896" width="19.7109375" customWidth="1"/>
    <col min="5897" max="5897" width="13.140625" customWidth="1"/>
    <col min="5898" max="5898" width="14.140625" customWidth="1"/>
    <col min="5899" max="5899" width="15" customWidth="1"/>
    <col min="5900" max="5900" width="10.28515625" customWidth="1"/>
    <col min="5901" max="5901" width="13.140625" customWidth="1"/>
    <col min="5904" max="5904" width="10.28515625" customWidth="1"/>
    <col min="5905" max="5905" width="13.140625" customWidth="1"/>
    <col min="5906" max="5906" width="18.7109375" customWidth="1"/>
    <col min="6144" max="6145" width="2.42578125" customWidth="1"/>
    <col min="6146" max="6146" width="53.140625" customWidth="1"/>
    <col min="6147" max="6147" width="9.85546875" customWidth="1"/>
    <col min="6148" max="6149" width="18.7109375" customWidth="1"/>
    <col min="6150" max="6150" width="2.42578125" customWidth="1"/>
    <col min="6151" max="6151" width="23.7109375" customWidth="1"/>
    <col min="6152" max="6152" width="19.7109375" customWidth="1"/>
    <col min="6153" max="6153" width="13.140625" customWidth="1"/>
    <col min="6154" max="6154" width="14.140625" customWidth="1"/>
    <col min="6155" max="6155" width="15" customWidth="1"/>
    <col min="6156" max="6156" width="10.28515625" customWidth="1"/>
    <col min="6157" max="6157" width="13.140625" customWidth="1"/>
    <col min="6160" max="6160" width="10.28515625" customWidth="1"/>
    <col min="6161" max="6161" width="13.140625" customWidth="1"/>
    <col min="6162" max="6162" width="18.7109375" customWidth="1"/>
    <col min="6400" max="6401" width="2.42578125" customWidth="1"/>
    <col min="6402" max="6402" width="53.140625" customWidth="1"/>
    <col min="6403" max="6403" width="9.85546875" customWidth="1"/>
    <col min="6404" max="6405" width="18.7109375" customWidth="1"/>
    <col min="6406" max="6406" width="2.42578125" customWidth="1"/>
    <col min="6407" max="6407" width="23.7109375" customWidth="1"/>
    <col min="6408" max="6408" width="19.7109375" customWidth="1"/>
    <col min="6409" max="6409" width="13.140625" customWidth="1"/>
    <col min="6410" max="6410" width="14.140625" customWidth="1"/>
    <col min="6411" max="6411" width="15" customWidth="1"/>
    <col min="6412" max="6412" width="10.28515625" customWidth="1"/>
    <col min="6413" max="6413" width="13.140625" customWidth="1"/>
    <col min="6416" max="6416" width="10.28515625" customWidth="1"/>
    <col min="6417" max="6417" width="13.140625" customWidth="1"/>
    <col min="6418" max="6418" width="18.7109375" customWidth="1"/>
    <col min="6656" max="6657" width="2.42578125" customWidth="1"/>
    <col min="6658" max="6658" width="53.140625" customWidth="1"/>
    <col min="6659" max="6659" width="9.85546875" customWidth="1"/>
    <col min="6660" max="6661" width="18.7109375" customWidth="1"/>
    <col min="6662" max="6662" width="2.42578125" customWidth="1"/>
    <col min="6663" max="6663" width="23.7109375" customWidth="1"/>
    <col min="6664" max="6664" width="19.7109375" customWidth="1"/>
    <col min="6665" max="6665" width="13.140625" customWidth="1"/>
    <col min="6666" max="6666" width="14.140625" customWidth="1"/>
    <col min="6667" max="6667" width="15" customWidth="1"/>
    <col min="6668" max="6668" width="10.28515625" customWidth="1"/>
    <col min="6669" max="6669" width="13.140625" customWidth="1"/>
    <col min="6672" max="6672" width="10.28515625" customWidth="1"/>
    <col min="6673" max="6673" width="13.140625" customWidth="1"/>
    <col min="6674" max="6674" width="18.7109375" customWidth="1"/>
    <col min="6912" max="6913" width="2.42578125" customWidth="1"/>
    <col min="6914" max="6914" width="53.140625" customWidth="1"/>
    <col min="6915" max="6915" width="9.85546875" customWidth="1"/>
    <col min="6916" max="6917" width="18.7109375" customWidth="1"/>
    <col min="6918" max="6918" width="2.42578125" customWidth="1"/>
    <col min="6919" max="6919" width="23.7109375" customWidth="1"/>
    <col min="6920" max="6920" width="19.7109375" customWidth="1"/>
    <col min="6921" max="6921" width="13.140625" customWidth="1"/>
    <col min="6922" max="6922" width="14.140625" customWidth="1"/>
    <col min="6923" max="6923" width="15" customWidth="1"/>
    <col min="6924" max="6924" width="10.28515625" customWidth="1"/>
    <col min="6925" max="6925" width="13.140625" customWidth="1"/>
    <col min="6928" max="6928" width="10.28515625" customWidth="1"/>
    <col min="6929" max="6929" width="13.140625" customWidth="1"/>
    <col min="6930" max="6930" width="18.7109375" customWidth="1"/>
    <col min="7168" max="7169" width="2.42578125" customWidth="1"/>
    <col min="7170" max="7170" width="53.140625" customWidth="1"/>
    <col min="7171" max="7171" width="9.85546875" customWidth="1"/>
    <col min="7172" max="7173" width="18.7109375" customWidth="1"/>
    <col min="7174" max="7174" width="2.42578125" customWidth="1"/>
    <col min="7175" max="7175" width="23.7109375" customWidth="1"/>
    <col min="7176" max="7176" width="19.7109375" customWidth="1"/>
    <col min="7177" max="7177" width="13.140625" customWidth="1"/>
    <col min="7178" max="7178" width="14.140625" customWidth="1"/>
    <col min="7179" max="7179" width="15" customWidth="1"/>
    <col min="7180" max="7180" width="10.28515625" customWidth="1"/>
    <col min="7181" max="7181" width="13.140625" customWidth="1"/>
    <col min="7184" max="7184" width="10.28515625" customWidth="1"/>
    <col min="7185" max="7185" width="13.140625" customWidth="1"/>
    <col min="7186" max="7186" width="18.7109375" customWidth="1"/>
    <col min="7424" max="7425" width="2.42578125" customWidth="1"/>
    <col min="7426" max="7426" width="53.140625" customWidth="1"/>
    <col min="7427" max="7427" width="9.85546875" customWidth="1"/>
    <col min="7428" max="7429" width="18.7109375" customWidth="1"/>
    <col min="7430" max="7430" width="2.42578125" customWidth="1"/>
    <col min="7431" max="7431" width="23.7109375" customWidth="1"/>
    <col min="7432" max="7432" width="19.7109375" customWidth="1"/>
    <col min="7433" max="7433" width="13.140625" customWidth="1"/>
    <col min="7434" max="7434" width="14.140625" customWidth="1"/>
    <col min="7435" max="7435" width="15" customWidth="1"/>
    <col min="7436" max="7436" width="10.28515625" customWidth="1"/>
    <col min="7437" max="7437" width="13.140625" customWidth="1"/>
    <col min="7440" max="7440" width="10.28515625" customWidth="1"/>
    <col min="7441" max="7441" width="13.140625" customWidth="1"/>
    <col min="7442" max="7442" width="18.7109375" customWidth="1"/>
    <col min="7680" max="7681" width="2.42578125" customWidth="1"/>
    <col min="7682" max="7682" width="53.140625" customWidth="1"/>
    <col min="7683" max="7683" width="9.85546875" customWidth="1"/>
    <col min="7684" max="7685" width="18.7109375" customWidth="1"/>
    <col min="7686" max="7686" width="2.42578125" customWidth="1"/>
    <col min="7687" max="7687" width="23.7109375" customWidth="1"/>
    <col min="7688" max="7688" width="19.7109375" customWidth="1"/>
    <col min="7689" max="7689" width="13.140625" customWidth="1"/>
    <col min="7690" max="7690" width="14.140625" customWidth="1"/>
    <col min="7691" max="7691" width="15" customWidth="1"/>
    <col min="7692" max="7692" width="10.28515625" customWidth="1"/>
    <col min="7693" max="7693" width="13.140625" customWidth="1"/>
    <col min="7696" max="7696" width="10.28515625" customWidth="1"/>
    <col min="7697" max="7697" width="13.140625" customWidth="1"/>
    <col min="7698" max="7698" width="18.7109375" customWidth="1"/>
    <col min="7936" max="7937" width="2.42578125" customWidth="1"/>
    <col min="7938" max="7938" width="53.140625" customWidth="1"/>
    <col min="7939" max="7939" width="9.85546875" customWidth="1"/>
    <col min="7940" max="7941" width="18.7109375" customWidth="1"/>
    <col min="7942" max="7942" width="2.42578125" customWidth="1"/>
    <col min="7943" max="7943" width="23.7109375" customWidth="1"/>
    <col min="7944" max="7944" width="19.7109375" customWidth="1"/>
    <col min="7945" max="7945" width="13.140625" customWidth="1"/>
    <col min="7946" max="7946" width="14.140625" customWidth="1"/>
    <col min="7947" max="7947" width="15" customWidth="1"/>
    <col min="7948" max="7948" width="10.28515625" customWidth="1"/>
    <col min="7949" max="7949" width="13.140625" customWidth="1"/>
    <col min="7952" max="7952" width="10.28515625" customWidth="1"/>
    <col min="7953" max="7953" width="13.140625" customWidth="1"/>
    <col min="7954" max="7954" width="18.7109375" customWidth="1"/>
    <col min="8192" max="8193" width="2.42578125" customWidth="1"/>
    <col min="8194" max="8194" width="53.140625" customWidth="1"/>
    <col min="8195" max="8195" width="9.85546875" customWidth="1"/>
    <col min="8196" max="8197" width="18.7109375" customWidth="1"/>
    <col min="8198" max="8198" width="2.42578125" customWidth="1"/>
    <col min="8199" max="8199" width="23.7109375" customWidth="1"/>
    <col min="8200" max="8200" width="19.7109375" customWidth="1"/>
    <col min="8201" max="8201" width="13.140625" customWidth="1"/>
    <col min="8202" max="8202" width="14.140625" customWidth="1"/>
    <col min="8203" max="8203" width="15" customWidth="1"/>
    <col min="8204" max="8204" width="10.28515625" customWidth="1"/>
    <col min="8205" max="8205" width="13.140625" customWidth="1"/>
    <col min="8208" max="8208" width="10.28515625" customWidth="1"/>
    <col min="8209" max="8209" width="13.140625" customWidth="1"/>
    <col min="8210" max="8210" width="18.7109375" customWidth="1"/>
    <col min="8448" max="8449" width="2.42578125" customWidth="1"/>
    <col min="8450" max="8450" width="53.140625" customWidth="1"/>
    <col min="8451" max="8451" width="9.85546875" customWidth="1"/>
    <col min="8452" max="8453" width="18.7109375" customWidth="1"/>
    <col min="8454" max="8454" width="2.42578125" customWidth="1"/>
    <col min="8455" max="8455" width="23.7109375" customWidth="1"/>
    <col min="8456" max="8456" width="19.7109375" customWidth="1"/>
    <col min="8457" max="8457" width="13.140625" customWidth="1"/>
    <col min="8458" max="8458" width="14.140625" customWidth="1"/>
    <col min="8459" max="8459" width="15" customWidth="1"/>
    <col min="8460" max="8460" width="10.28515625" customWidth="1"/>
    <col min="8461" max="8461" width="13.140625" customWidth="1"/>
    <col min="8464" max="8464" width="10.28515625" customWidth="1"/>
    <col min="8465" max="8465" width="13.140625" customWidth="1"/>
    <col min="8466" max="8466" width="18.7109375" customWidth="1"/>
    <col min="8704" max="8705" width="2.42578125" customWidth="1"/>
    <col min="8706" max="8706" width="53.140625" customWidth="1"/>
    <col min="8707" max="8707" width="9.85546875" customWidth="1"/>
    <col min="8708" max="8709" width="18.7109375" customWidth="1"/>
    <col min="8710" max="8710" width="2.42578125" customWidth="1"/>
    <col min="8711" max="8711" width="23.7109375" customWidth="1"/>
    <col min="8712" max="8712" width="19.7109375" customWidth="1"/>
    <col min="8713" max="8713" width="13.140625" customWidth="1"/>
    <col min="8714" max="8714" width="14.140625" customWidth="1"/>
    <col min="8715" max="8715" width="15" customWidth="1"/>
    <col min="8716" max="8716" width="10.28515625" customWidth="1"/>
    <col min="8717" max="8717" width="13.140625" customWidth="1"/>
    <col min="8720" max="8720" width="10.28515625" customWidth="1"/>
    <col min="8721" max="8721" width="13.140625" customWidth="1"/>
    <col min="8722" max="8722" width="18.7109375" customWidth="1"/>
    <col min="8960" max="8961" width="2.42578125" customWidth="1"/>
    <col min="8962" max="8962" width="53.140625" customWidth="1"/>
    <col min="8963" max="8963" width="9.85546875" customWidth="1"/>
    <col min="8964" max="8965" width="18.7109375" customWidth="1"/>
    <col min="8966" max="8966" width="2.42578125" customWidth="1"/>
    <col min="8967" max="8967" width="23.7109375" customWidth="1"/>
    <col min="8968" max="8968" width="19.7109375" customWidth="1"/>
    <col min="8969" max="8969" width="13.140625" customWidth="1"/>
    <col min="8970" max="8970" width="14.140625" customWidth="1"/>
    <col min="8971" max="8971" width="15" customWidth="1"/>
    <col min="8972" max="8972" width="10.28515625" customWidth="1"/>
    <col min="8973" max="8973" width="13.140625" customWidth="1"/>
    <col min="8976" max="8976" width="10.28515625" customWidth="1"/>
    <col min="8977" max="8977" width="13.140625" customWidth="1"/>
    <col min="8978" max="8978" width="18.7109375" customWidth="1"/>
    <col min="9216" max="9217" width="2.42578125" customWidth="1"/>
    <col min="9218" max="9218" width="53.140625" customWidth="1"/>
    <col min="9219" max="9219" width="9.85546875" customWidth="1"/>
    <col min="9220" max="9221" width="18.7109375" customWidth="1"/>
    <col min="9222" max="9222" width="2.42578125" customWidth="1"/>
    <col min="9223" max="9223" width="23.7109375" customWidth="1"/>
    <col min="9224" max="9224" width="19.7109375" customWidth="1"/>
    <col min="9225" max="9225" width="13.140625" customWidth="1"/>
    <col min="9226" max="9226" width="14.140625" customWidth="1"/>
    <col min="9227" max="9227" width="15" customWidth="1"/>
    <col min="9228" max="9228" width="10.28515625" customWidth="1"/>
    <col min="9229" max="9229" width="13.140625" customWidth="1"/>
    <col min="9232" max="9232" width="10.28515625" customWidth="1"/>
    <col min="9233" max="9233" width="13.140625" customWidth="1"/>
    <col min="9234" max="9234" width="18.7109375" customWidth="1"/>
    <col min="9472" max="9473" width="2.42578125" customWidth="1"/>
    <col min="9474" max="9474" width="53.140625" customWidth="1"/>
    <col min="9475" max="9475" width="9.85546875" customWidth="1"/>
    <col min="9476" max="9477" width="18.7109375" customWidth="1"/>
    <col min="9478" max="9478" width="2.42578125" customWidth="1"/>
    <col min="9479" max="9479" width="23.7109375" customWidth="1"/>
    <col min="9480" max="9480" width="19.7109375" customWidth="1"/>
    <col min="9481" max="9481" width="13.140625" customWidth="1"/>
    <col min="9482" max="9482" width="14.140625" customWidth="1"/>
    <col min="9483" max="9483" width="15" customWidth="1"/>
    <col min="9484" max="9484" width="10.28515625" customWidth="1"/>
    <col min="9485" max="9485" width="13.140625" customWidth="1"/>
    <col min="9488" max="9488" width="10.28515625" customWidth="1"/>
    <col min="9489" max="9489" width="13.140625" customWidth="1"/>
    <col min="9490" max="9490" width="18.7109375" customWidth="1"/>
    <col min="9728" max="9729" width="2.42578125" customWidth="1"/>
    <col min="9730" max="9730" width="53.140625" customWidth="1"/>
    <col min="9731" max="9731" width="9.85546875" customWidth="1"/>
    <col min="9732" max="9733" width="18.7109375" customWidth="1"/>
    <col min="9734" max="9734" width="2.42578125" customWidth="1"/>
    <col min="9735" max="9735" width="23.7109375" customWidth="1"/>
    <col min="9736" max="9736" width="19.7109375" customWidth="1"/>
    <col min="9737" max="9737" width="13.140625" customWidth="1"/>
    <col min="9738" max="9738" width="14.140625" customWidth="1"/>
    <col min="9739" max="9739" width="15" customWidth="1"/>
    <col min="9740" max="9740" width="10.28515625" customWidth="1"/>
    <col min="9741" max="9741" width="13.140625" customWidth="1"/>
    <col min="9744" max="9744" width="10.28515625" customWidth="1"/>
    <col min="9745" max="9745" width="13.140625" customWidth="1"/>
    <col min="9746" max="9746" width="18.7109375" customWidth="1"/>
    <col min="9984" max="9985" width="2.42578125" customWidth="1"/>
    <col min="9986" max="9986" width="53.140625" customWidth="1"/>
    <col min="9987" max="9987" width="9.85546875" customWidth="1"/>
    <col min="9988" max="9989" width="18.7109375" customWidth="1"/>
    <col min="9990" max="9990" width="2.42578125" customWidth="1"/>
    <col min="9991" max="9991" width="23.7109375" customWidth="1"/>
    <col min="9992" max="9992" width="19.7109375" customWidth="1"/>
    <col min="9993" max="9993" width="13.140625" customWidth="1"/>
    <col min="9994" max="9994" width="14.140625" customWidth="1"/>
    <col min="9995" max="9995" width="15" customWidth="1"/>
    <col min="9996" max="9996" width="10.28515625" customWidth="1"/>
    <col min="9997" max="9997" width="13.140625" customWidth="1"/>
    <col min="10000" max="10000" width="10.28515625" customWidth="1"/>
    <col min="10001" max="10001" width="13.140625" customWidth="1"/>
    <col min="10002" max="10002" width="18.7109375" customWidth="1"/>
    <col min="10240" max="10241" width="2.42578125" customWidth="1"/>
    <col min="10242" max="10242" width="53.140625" customWidth="1"/>
    <col min="10243" max="10243" width="9.85546875" customWidth="1"/>
    <col min="10244" max="10245" width="18.7109375" customWidth="1"/>
    <col min="10246" max="10246" width="2.42578125" customWidth="1"/>
    <col min="10247" max="10247" width="23.7109375" customWidth="1"/>
    <col min="10248" max="10248" width="19.7109375" customWidth="1"/>
    <col min="10249" max="10249" width="13.140625" customWidth="1"/>
    <col min="10250" max="10250" width="14.140625" customWidth="1"/>
    <col min="10251" max="10251" width="15" customWidth="1"/>
    <col min="10252" max="10252" width="10.28515625" customWidth="1"/>
    <col min="10253" max="10253" width="13.140625" customWidth="1"/>
    <col min="10256" max="10256" width="10.28515625" customWidth="1"/>
    <col min="10257" max="10257" width="13.140625" customWidth="1"/>
    <col min="10258" max="10258" width="18.7109375" customWidth="1"/>
    <col min="10496" max="10497" width="2.42578125" customWidth="1"/>
    <col min="10498" max="10498" width="53.140625" customWidth="1"/>
    <col min="10499" max="10499" width="9.85546875" customWidth="1"/>
    <col min="10500" max="10501" width="18.7109375" customWidth="1"/>
    <col min="10502" max="10502" width="2.42578125" customWidth="1"/>
    <col min="10503" max="10503" width="23.7109375" customWidth="1"/>
    <col min="10504" max="10504" width="19.7109375" customWidth="1"/>
    <col min="10505" max="10505" width="13.140625" customWidth="1"/>
    <col min="10506" max="10506" width="14.140625" customWidth="1"/>
    <col min="10507" max="10507" width="15" customWidth="1"/>
    <col min="10508" max="10508" width="10.28515625" customWidth="1"/>
    <col min="10509" max="10509" width="13.140625" customWidth="1"/>
    <col min="10512" max="10512" width="10.28515625" customWidth="1"/>
    <col min="10513" max="10513" width="13.140625" customWidth="1"/>
    <col min="10514" max="10514" width="18.7109375" customWidth="1"/>
    <col min="10752" max="10753" width="2.42578125" customWidth="1"/>
    <col min="10754" max="10754" width="53.140625" customWidth="1"/>
    <col min="10755" max="10755" width="9.85546875" customWidth="1"/>
    <col min="10756" max="10757" width="18.7109375" customWidth="1"/>
    <col min="10758" max="10758" width="2.42578125" customWidth="1"/>
    <col min="10759" max="10759" width="23.7109375" customWidth="1"/>
    <col min="10760" max="10760" width="19.7109375" customWidth="1"/>
    <col min="10761" max="10761" width="13.140625" customWidth="1"/>
    <col min="10762" max="10762" width="14.140625" customWidth="1"/>
    <col min="10763" max="10763" width="15" customWidth="1"/>
    <col min="10764" max="10764" width="10.28515625" customWidth="1"/>
    <col min="10765" max="10765" width="13.140625" customWidth="1"/>
    <col min="10768" max="10768" width="10.28515625" customWidth="1"/>
    <col min="10769" max="10769" width="13.140625" customWidth="1"/>
    <col min="10770" max="10770" width="18.7109375" customWidth="1"/>
    <col min="11008" max="11009" width="2.42578125" customWidth="1"/>
    <col min="11010" max="11010" width="53.140625" customWidth="1"/>
    <col min="11011" max="11011" width="9.85546875" customWidth="1"/>
    <col min="11012" max="11013" width="18.7109375" customWidth="1"/>
    <col min="11014" max="11014" width="2.42578125" customWidth="1"/>
    <col min="11015" max="11015" width="23.7109375" customWidth="1"/>
    <col min="11016" max="11016" width="19.7109375" customWidth="1"/>
    <col min="11017" max="11017" width="13.140625" customWidth="1"/>
    <col min="11018" max="11018" width="14.140625" customWidth="1"/>
    <col min="11019" max="11019" width="15" customWidth="1"/>
    <col min="11020" max="11020" width="10.28515625" customWidth="1"/>
    <col min="11021" max="11021" width="13.140625" customWidth="1"/>
    <col min="11024" max="11024" width="10.28515625" customWidth="1"/>
    <col min="11025" max="11025" width="13.140625" customWidth="1"/>
    <col min="11026" max="11026" width="18.7109375" customWidth="1"/>
    <col min="11264" max="11265" width="2.42578125" customWidth="1"/>
    <col min="11266" max="11266" width="53.140625" customWidth="1"/>
    <col min="11267" max="11267" width="9.85546875" customWidth="1"/>
    <col min="11268" max="11269" width="18.7109375" customWidth="1"/>
    <col min="11270" max="11270" width="2.42578125" customWidth="1"/>
    <col min="11271" max="11271" width="23.7109375" customWidth="1"/>
    <col min="11272" max="11272" width="19.7109375" customWidth="1"/>
    <col min="11273" max="11273" width="13.140625" customWidth="1"/>
    <col min="11274" max="11274" width="14.140625" customWidth="1"/>
    <col min="11275" max="11275" width="15" customWidth="1"/>
    <col min="11276" max="11276" width="10.28515625" customWidth="1"/>
    <col min="11277" max="11277" width="13.140625" customWidth="1"/>
    <col min="11280" max="11280" width="10.28515625" customWidth="1"/>
    <col min="11281" max="11281" width="13.140625" customWidth="1"/>
    <col min="11282" max="11282" width="18.7109375" customWidth="1"/>
    <col min="11520" max="11521" width="2.42578125" customWidth="1"/>
    <col min="11522" max="11522" width="53.140625" customWidth="1"/>
    <col min="11523" max="11523" width="9.85546875" customWidth="1"/>
    <col min="11524" max="11525" width="18.7109375" customWidth="1"/>
    <col min="11526" max="11526" width="2.42578125" customWidth="1"/>
    <col min="11527" max="11527" width="23.7109375" customWidth="1"/>
    <col min="11528" max="11528" width="19.7109375" customWidth="1"/>
    <col min="11529" max="11529" width="13.140625" customWidth="1"/>
    <col min="11530" max="11530" width="14.140625" customWidth="1"/>
    <col min="11531" max="11531" width="15" customWidth="1"/>
    <col min="11532" max="11532" width="10.28515625" customWidth="1"/>
    <col min="11533" max="11533" width="13.140625" customWidth="1"/>
    <col min="11536" max="11536" width="10.28515625" customWidth="1"/>
    <col min="11537" max="11537" width="13.140625" customWidth="1"/>
    <col min="11538" max="11538" width="18.7109375" customWidth="1"/>
    <col min="11776" max="11777" width="2.42578125" customWidth="1"/>
    <col min="11778" max="11778" width="53.140625" customWidth="1"/>
    <col min="11779" max="11779" width="9.85546875" customWidth="1"/>
    <col min="11780" max="11781" width="18.7109375" customWidth="1"/>
    <col min="11782" max="11782" width="2.42578125" customWidth="1"/>
    <col min="11783" max="11783" width="23.7109375" customWidth="1"/>
    <col min="11784" max="11784" width="19.7109375" customWidth="1"/>
    <col min="11785" max="11785" width="13.140625" customWidth="1"/>
    <col min="11786" max="11786" width="14.140625" customWidth="1"/>
    <col min="11787" max="11787" width="15" customWidth="1"/>
    <col min="11788" max="11788" width="10.28515625" customWidth="1"/>
    <col min="11789" max="11789" width="13.140625" customWidth="1"/>
    <col min="11792" max="11792" width="10.28515625" customWidth="1"/>
    <col min="11793" max="11793" width="13.140625" customWidth="1"/>
    <col min="11794" max="11794" width="18.7109375" customWidth="1"/>
    <col min="12032" max="12033" width="2.42578125" customWidth="1"/>
    <col min="12034" max="12034" width="53.140625" customWidth="1"/>
    <col min="12035" max="12035" width="9.85546875" customWidth="1"/>
    <col min="12036" max="12037" width="18.7109375" customWidth="1"/>
    <col min="12038" max="12038" width="2.42578125" customWidth="1"/>
    <col min="12039" max="12039" width="23.7109375" customWidth="1"/>
    <col min="12040" max="12040" width="19.7109375" customWidth="1"/>
    <col min="12041" max="12041" width="13.140625" customWidth="1"/>
    <col min="12042" max="12042" width="14.140625" customWidth="1"/>
    <col min="12043" max="12043" width="15" customWidth="1"/>
    <col min="12044" max="12044" width="10.28515625" customWidth="1"/>
    <col min="12045" max="12045" width="13.140625" customWidth="1"/>
    <col min="12048" max="12048" width="10.28515625" customWidth="1"/>
    <col min="12049" max="12049" width="13.140625" customWidth="1"/>
    <col min="12050" max="12050" width="18.7109375" customWidth="1"/>
    <col min="12288" max="12289" width="2.42578125" customWidth="1"/>
    <col min="12290" max="12290" width="53.140625" customWidth="1"/>
    <col min="12291" max="12291" width="9.85546875" customWidth="1"/>
    <col min="12292" max="12293" width="18.7109375" customWidth="1"/>
    <col min="12294" max="12294" width="2.42578125" customWidth="1"/>
    <col min="12295" max="12295" width="23.7109375" customWidth="1"/>
    <col min="12296" max="12296" width="19.7109375" customWidth="1"/>
    <col min="12297" max="12297" width="13.140625" customWidth="1"/>
    <col min="12298" max="12298" width="14.140625" customWidth="1"/>
    <col min="12299" max="12299" width="15" customWidth="1"/>
    <col min="12300" max="12300" width="10.28515625" customWidth="1"/>
    <col min="12301" max="12301" width="13.140625" customWidth="1"/>
    <col min="12304" max="12304" width="10.28515625" customWidth="1"/>
    <col min="12305" max="12305" width="13.140625" customWidth="1"/>
    <col min="12306" max="12306" width="18.7109375" customWidth="1"/>
    <col min="12544" max="12545" width="2.42578125" customWidth="1"/>
    <col min="12546" max="12546" width="53.140625" customWidth="1"/>
    <col min="12547" max="12547" width="9.85546875" customWidth="1"/>
    <col min="12548" max="12549" width="18.7109375" customWidth="1"/>
    <col min="12550" max="12550" width="2.42578125" customWidth="1"/>
    <col min="12551" max="12551" width="23.7109375" customWidth="1"/>
    <col min="12552" max="12552" width="19.7109375" customWidth="1"/>
    <col min="12553" max="12553" width="13.140625" customWidth="1"/>
    <col min="12554" max="12554" width="14.140625" customWidth="1"/>
    <col min="12555" max="12555" width="15" customWidth="1"/>
    <col min="12556" max="12556" width="10.28515625" customWidth="1"/>
    <col min="12557" max="12557" width="13.140625" customWidth="1"/>
    <col min="12560" max="12560" width="10.28515625" customWidth="1"/>
    <col min="12561" max="12561" width="13.140625" customWidth="1"/>
    <col min="12562" max="12562" width="18.7109375" customWidth="1"/>
    <col min="12800" max="12801" width="2.42578125" customWidth="1"/>
    <col min="12802" max="12802" width="53.140625" customWidth="1"/>
    <col min="12803" max="12803" width="9.85546875" customWidth="1"/>
    <col min="12804" max="12805" width="18.7109375" customWidth="1"/>
    <col min="12806" max="12806" width="2.42578125" customWidth="1"/>
    <col min="12807" max="12807" width="23.7109375" customWidth="1"/>
    <col min="12808" max="12808" width="19.7109375" customWidth="1"/>
    <col min="12809" max="12809" width="13.140625" customWidth="1"/>
    <col min="12810" max="12810" width="14.140625" customWidth="1"/>
    <col min="12811" max="12811" width="15" customWidth="1"/>
    <col min="12812" max="12812" width="10.28515625" customWidth="1"/>
    <col min="12813" max="12813" width="13.140625" customWidth="1"/>
    <col min="12816" max="12816" width="10.28515625" customWidth="1"/>
    <col min="12817" max="12817" width="13.140625" customWidth="1"/>
    <col min="12818" max="12818" width="18.7109375" customWidth="1"/>
    <col min="13056" max="13057" width="2.42578125" customWidth="1"/>
    <col min="13058" max="13058" width="53.140625" customWidth="1"/>
    <col min="13059" max="13059" width="9.85546875" customWidth="1"/>
    <col min="13060" max="13061" width="18.7109375" customWidth="1"/>
    <col min="13062" max="13062" width="2.42578125" customWidth="1"/>
    <col min="13063" max="13063" width="23.7109375" customWidth="1"/>
    <col min="13064" max="13064" width="19.7109375" customWidth="1"/>
    <col min="13065" max="13065" width="13.140625" customWidth="1"/>
    <col min="13066" max="13066" width="14.140625" customWidth="1"/>
    <col min="13067" max="13067" width="15" customWidth="1"/>
    <col min="13068" max="13068" width="10.28515625" customWidth="1"/>
    <col min="13069" max="13069" width="13.140625" customWidth="1"/>
    <col min="13072" max="13072" width="10.28515625" customWidth="1"/>
    <col min="13073" max="13073" width="13.140625" customWidth="1"/>
    <col min="13074" max="13074" width="18.7109375" customWidth="1"/>
    <col min="13312" max="13313" width="2.42578125" customWidth="1"/>
    <col min="13314" max="13314" width="53.140625" customWidth="1"/>
    <col min="13315" max="13315" width="9.85546875" customWidth="1"/>
    <col min="13316" max="13317" width="18.7109375" customWidth="1"/>
    <col min="13318" max="13318" width="2.42578125" customWidth="1"/>
    <col min="13319" max="13319" width="23.7109375" customWidth="1"/>
    <col min="13320" max="13320" width="19.7109375" customWidth="1"/>
    <col min="13321" max="13321" width="13.140625" customWidth="1"/>
    <col min="13322" max="13322" width="14.140625" customWidth="1"/>
    <col min="13323" max="13323" width="15" customWidth="1"/>
    <col min="13324" max="13324" width="10.28515625" customWidth="1"/>
    <col min="13325" max="13325" width="13.140625" customWidth="1"/>
    <col min="13328" max="13328" width="10.28515625" customWidth="1"/>
    <col min="13329" max="13329" width="13.140625" customWidth="1"/>
    <col min="13330" max="13330" width="18.7109375" customWidth="1"/>
    <col min="13568" max="13569" width="2.42578125" customWidth="1"/>
    <col min="13570" max="13570" width="53.140625" customWidth="1"/>
    <col min="13571" max="13571" width="9.85546875" customWidth="1"/>
    <col min="13572" max="13573" width="18.7109375" customWidth="1"/>
    <col min="13574" max="13574" width="2.42578125" customWidth="1"/>
    <col min="13575" max="13575" width="23.7109375" customWidth="1"/>
    <col min="13576" max="13576" width="19.7109375" customWidth="1"/>
    <col min="13577" max="13577" width="13.140625" customWidth="1"/>
    <col min="13578" max="13578" width="14.140625" customWidth="1"/>
    <col min="13579" max="13579" width="15" customWidth="1"/>
    <col min="13580" max="13580" width="10.28515625" customWidth="1"/>
    <col min="13581" max="13581" width="13.140625" customWidth="1"/>
    <col min="13584" max="13584" width="10.28515625" customWidth="1"/>
    <col min="13585" max="13585" width="13.140625" customWidth="1"/>
    <col min="13586" max="13586" width="18.7109375" customWidth="1"/>
    <col min="13824" max="13825" width="2.42578125" customWidth="1"/>
    <col min="13826" max="13826" width="53.140625" customWidth="1"/>
    <col min="13827" max="13827" width="9.85546875" customWidth="1"/>
    <col min="13828" max="13829" width="18.7109375" customWidth="1"/>
    <col min="13830" max="13830" width="2.42578125" customWidth="1"/>
    <col min="13831" max="13831" width="23.7109375" customWidth="1"/>
    <col min="13832" max="13832" width="19.7109375" customWidth="1"/>
    <col min="13833" max="13833" width="13.140625" customWidth="1"/>
    <col min="13834" max="13834" width="14.140625" customWidth="1"/>
    <col min="13835" max="13835" width="15" customWidth="1"/>
    <col min="13836" max="13836" width="10.28515625" customWidth="1"/>
    <col min="13837" max="13837" width="13.140625" customWidth="1"/>
    <col min="13840" max="13840" width="10.28515625" customWidth="1"/>
    <col min="13841" max="13841" width="13.140625" customWidth="1"/>
    <col min="13842" max="13842" width="18.7109375" customWidth="1"/>
    <col min="14080" max="14081" width="2.42578125" customWidth="1"/>
    <col min="14082" max="14082" width="53.140625" customWidth="1"/>
    <col min="14083" max="14083" width="9.85546875" customWidth="1"/>
    <col min="14084" max="14085" width="18.7109375" customWidth="1"/>
    <col min="14086" max="14086" width="2.42578125" customWidth="1"/>
    <col min="14087" max="14087" width="23.7109375" customWidth="1"/>
    <col min="14088" max="14088" width="19.7109375" customWidth="1"/>
    <col min="14089" max="14089" width="13.140625" customWidth="1"/>
    <col min="14090" max="14090" width="14.140625" customWidth="1"/>
    <col min="14091" max="14091" width="15" customWidth="1"/>
    <col min="14092" max="14092" width="10.28515625" customWidth="1"/>
    <col min="14093" max="14093" width="13.140625" customWidth="1"/>
    <col min="14096" max="14096" width="10.28515625" customWidth="1"/>
    <col min="14097" max="14097" width="13.140625" customWidth="1"/>
    <col min="14098" max="14098" width="18.7109375" customWidth="1"/>
    <col min="14336" max="14337" width="2.42578125" customWidth="1"/>
    <col min="14338" max="14338" width="53.140625" customWidth="1"/>
    <col min="14339" max="14339" width="9.85546875" customWidth="1"/>
    <col min="14340" max="14341" width="18.7109375" customWidth="1"/>
    <col min="14342" max="14342" width="2.42578125" customWidth="1"/>
    <col min="14343" max="14343" width="23.7109375" customWidth="1"/>
    <col min="14344" max="14344" width="19.7109375" customWidth="1"/>
    <col min="14345" max="14345" width="13.140625" customWidth="1"/>
    <col min="14346" max="14346" width="14.140625" customWidth="1"/>
    <col min="14347" max="14347" width="15" customWidth="1"/>
    <col min="14348" max="14348" width="10.28515625" customWidth="1"/>
    <col min="14349" max="14349" width="13.140625" customWidth="1"/>
    <col min="14352" max="14352" width="10.28515625" customWidth="1"/>
    <col min="14353" max="14353" width="13.140625" customWidth="1"/>
    <col min="14354" max="14354" width="18.7109375" customWidth="1"/>
    <col min="14592" max="14593" width="2.42578125" customWidth="1"/>
    <col min="14594" max="14594" width="53.140625" customWidth="1"/>
    <col min="14595" max="14595" width="9.85546875" customWidth="1"/>
    <col min="14596" max="14597" width="18.7109375" customWidth="1"/>
    <col min="14598" max="14598" width="2.42578125" customWidth="1"/>
    <col min="14599" max="14599" width="23.7109375" customWidth="1"/>
    <col min="14600" max="14600" width="19.7109375" customWidth="1"/>
    <col min="14601" max="14601" width="13.140625" customWidth="1"/>
    <col min="14602" max="14602" width="14.140625" customWidth="1"/>
    <col min="14603" max="14603" width="15" customWidth="1"/>
    <col min="14604" max="14604" width="10.28515625" customWidth="1"/>
    <col min="14605" max="14605" width="13.140625" customWidth="1"/>
    <col min="14608" max="14608" width="10.28515625" customWidth="1"/>
    <col min="14609" max="14609" width="13.140625" customWidth="1"/>
    <col min="14610" max="14610" width="18.7109375" customWidth="1"/>
    <col min="14848" max="14849" width="2.42578125" customWidth="1"/>
    <col min="14850" max="14850" width="53.140625" customWidth="1"/>
    <col min="14851" max="14851" width="9.85546875" customWidth="1"/>
    <col min="14852" max="14853" width="18.7109375" customWidth="1"/>
    <col min="14854" max="14854" width="2.42578125" customWidth="1"/>
    <col min="14855" max="14855" width="23.7109375" customWidth="1"/>
    <col min="14856" max="14856" width="19.7109375" customWidth="1"/>
    <col min="14857" max="14857" width="13.140625" customWidth="1"/>
    <col min="14858" max="14858" width="14.140625" customWidth="1"/>
    <col min="14859" max="14859" width="15" customWidth="1"/>
    <col min="14860" max="14860" width="10.28515625" customWidth="1"/>
    <col min="14861" max="14861" width="13.140625" customWidth="1"/>
    <col min="14864" max="14864" width="10.28515625" customWidth="1"/>
    <col min="14865" max="14865" width="13.140625" customWidth="1"/>
    <col min="14866" max="14866" width="18.7109375" customWidth="1"/>
    <col min="15104" max="15105" width="2.42578125" customWidth="1"/>
    <col min="15106" max="15106" width="53.140625" customWidth="1"/>
    <col min="15107" max="15107" width="9.85546875" customWidth="1"/>
    <col min="15108" max="15109" width="18.7109375" customWidth="1"/>
    <col min="15110" max="15110" width="2.42578125" customWidth="1"/>
    <col min="15111" max="15111" width="23.7109375" customWidth="1"/>
    <col min="15112" max="15112" width="19.7109375" customWidth="1"/>
    <col min="15113" max="15113" width="13.140625" customWidth="1"/>
    <col min="15114" max="15114" width="14.140625" customWidth="1"/>
    <col min="15115" max="15115" width="15" customWidth="1"/>
    <col min="15116" max="15116" width="10.28515625" customWidth="1"/>
    <col min="15117" max="15117" width="13.140625" customWidth="1"/>
    <col min="15120" max="15120" width="10.28515625" customWidth="1"/>
    <col min="15121" max="15121" width="13.140625" customWidth="1"/>
    <col min="15122" max="15122" width="18.7109375" customWidth="1"/>
    <col min="15360" max="15361" width="2.42578125" customWidth="1"/>
    <col min="15362" max="15362" width="53.140625" customWidth="1"/>
    <col min="15363" max="15363" width="9.85546875" customWidth="1"/>
    <col min="15364" max="15365" width="18.7109375" customWidth="1"/>
    <col min="15366" max="15366" width="2.42578125" customWidth="1"/>
    <col min="15367" max="15367" width="23.7109375" customWidth="1"/>
    <col min="15368" max="15368" width="19.7109375" customWidth="1"/>
    <col min="15369" max="15369" width="13.140625" customWidth="1"/>
    <col min="15370" max="15370" width="14.140625" customWidth="1"/>
    <col min="15371" max="15371" width="15" customWidth="1"/>
    <col min="15372" max="15372" width="10.28515625" customWidth="1"/>
    <col min="15373" max="15373" width="13.140625" customWidth="1"/>
    <col min="15376" max="15376" width="10.28515625" customWidth="1"/>
    <col min="15377" max="15377" width="13.140625" customWidth="1"/>
    <col min="15378" max="15378" width="18.7109375" customWidth="1"/>
    <col min="15616" max="15617" width="2.42578125" customWidth="1"/>
    <col min="15618" max="15618" width="53.140625" customWidth="1"/>
    <col min="15619" max="15619" width="9.85546875" customWidth="1"/>
    <col min="15620" max="15621" width="18.7109375" customWidth="1"/>
    <col min="15622" max="15622" width="2.42578125" customWidth="1"/>
    <col min="15623" max="15623" width="23.7109375" customWidth="1"/>
    <col min="15624" max="15624" width="19.7109375" customWidth="1"/>
    <col min="15625" max="15625" width="13.140625" customWidth="1"/>
    <col min="15626" max="15626" width="14.140625" customWidth="1"/>
    <col min="15627" max="15627" width="15" customWidth="1"/>
    <col min="15628" max="15628" width="10.28515625" customWidth="1"/>
    <col min="15629" max="15629" width="13.140625" customWidth="1"/>
    <col min="15632" max="15632" width="10.28515625" customWidth="1"/>
    <col min="15633" max="15633" width="13.140625" customWidth="1"/>
    <col min="15634" max="15634" width="18.7109375" customWidth="1"/>
    <col min="15872" max="15873" width="2.42578125" customWidth="1"/>
    <col min="15874" max="15874" width="53.140625" customWidth="1"/>
    <col min="15875" max="15875" width="9.85546875" customWidth="1"/>
    <col min="15876" max="15877" width="18.7109375" customWidth="1"/>
    <col min="15878" max="15878" width="2.42578125" customWidth="1"/>
    <col min="15879" max="15879" width="23.7109375" customWidth="1"/>
    <col min="15880" max="15880" width="19.7109375" customWidth="1"/>
    <col min="15881" max="15881" width="13.140625" customWidth="1"/>
    <col min="15882" max="15882" width="14.140625" customWidth="1"/>
    <col min="15883" max="15883" width="15" customWidth="1"/>
    <col min="15884" max="15884" width="10.28515625" customWidth="1"/>
    <col min="15885" max="15885" width="13.140625" customWidth="1"/>
    <col min="15888" max="15888" width="10.28515625" customWidth="1"/>
    <col min="15889" max="15889" width="13.140625" customWidth="1"/>
    <col min="15890" max="15890" width="18.7109375" customWidth="1"/>
    <col min="16128" max="16129" width="2.42578125" customWidth="1"/>
    <col min="16130" max="16130" width="53.140625" customWidth="1"/>
    <col min="16131" max="16131" width="9.85546875" customWidth="1"/>
    <col min="16132" max="16133" width="18.7109375" customWidth="1"/>
    <col min="16134" max="16134" width="2.42578125" customWidth="1"/>
    <col min="16135" max="16135" width="23.7109375" customWidth="1"/>
    <col min="16136" max="16136" width="19.7109375" customWidth="1"/>
    <col min="16137" max="16137" width="13.140625" customWidth="1"/>
    <col min="16138" max="16138" width="14.140625" customWidth="1"/>
    <col min="16139" max="16139" width="15" customWidth="1"/>
    <col min="16140" max="16140" width="10.28515625" customWidth="1"/>
    <col min="16141" max="16141" width="13.140625" customWidth="1"/>
    <col min="16144" max="16144" width="10.28515625" customWidth="1"/>
    <col min="16145" max="16145" width="13.140625" customWidth="1"/>
    <col min="16146" max="16146" width="18.7109375" customWidth="1"/>
  </cols>
  <sheetData>
    <row r="1" spans="1:12" ht="15" x14ac:dyDescent="0.2">
      <c r="B1" s="80" t="str">
        <f>'Budget global'!B1</f>
        <v>VILLE_Projet de xxxxxxxxxxxxxxxxxxxxxxxxxxxxxxxxxxxxxx</v>
      </c>
      <c r="D1" s="82"/>
      <c r="E1" s="36" t="s">
        <v>90</v>
      </c>
      <c r="F1" s="82" t="str">
        <f>'Budget global'!D1</f>
        <v>XX-XX-XXXX</v>
      </c>
    </row>
    <row r="2" spans="1:12" ht="15" customHeight="1" thickBot="1" x14ac:dyDescent="0.25">
      <c r="B2" s="35"/>
      <c r="C2" s="95"/>
      <c r="D2" s="96"/>
    </row>
    <row r="3" spans="1:12" s="56" customFormat="1" ht="20.100000000000001" customHeight="1" thickBot="1" x14ac:dyDescent="0.25">
      <c r="B3" s="459" t="s">
        <v>302</v>
      </c>
      <c r="C3" s="460"/>
      <c r="D3" s="460"/>
      <c r="E3" s="460"/>
      <c r="F3" s="461"/>
      <c r="G3" s="144"/>
      <c r="H3" s="144"/>
      <c r="I3" s="144"/>
      <c r="J3" s="144"/>
      <c r="K3"/>
      <c r="L3"/>
    </row>
    <row r="4" spans="1:12" s="56" customFormat="1" ht="42.75" customHeight="1" x14ac:dyDescent="0.2">
      <c r="B4" s="411">
        <f>E33</f>
        <v>8300</v>
      </c>
      <c r="C4" s="412"/>
      <c r="D4" s="412"/>
      <c r="E4" s="412"/>
      <c r="F4" s="413"/>
      <c r="G4" s="144"/>
      <c r="H4" s="144"/>
      <c r="J4"/>
      <c r="K4"/>
      <c r="L4"/>
    </row>
    <row r="5" spans="1:12" s="22" customFormat="1" ht="20.100000000000001" customHeight="1" x14ac:dyDescent="0.2">
      <c r="A5" s="391"/>
      <c r="B5" s="392" t="s">
        <v>24</v>
      </c>
      <c r="C5" s="393"/>
      <c r="D5" s="394">
        <f>'Budget global'!G39</f>
        <v>284400</v>
      </c>
      <c r="E5" s="105"/>
      <c r="F5" s="395"/>
      <c r="G5" s="397" t="s">
        <v>177</v>
      </c>
      <c r="H5" s="216"/>
      <c r="I5" s="216"/>
      <c r="J5"/>
    </row>
    <row r="6" spans="1:12" x14ac:dyDescent="0.2">
      <c r="A6" s="1"/>
      <c r="B6" s="331"/>
      <c r="C6" s="332"/>
      <c r="D6" s="333"/>
      <c r="E6" s="35"/>
      <c r="F6" s="2"/>
      <c r="G6" s="235"/>
      <c r="H6" s="236"/>
      <c r="I6" s="236"/>
    </row>
    <row r="7" spans="1:12" ht="42" customHeight="1" thickBot="1" x14ac:dyDescent="0.25">
      <c r="A7" s="1"/>
      <c r="B7" s="414"/>
      <c r="C7" s="415"/>
      <c r="D7" s="420" t="s">
        <v>303</v>
      </c>
      <c r="E7" s="421">
        <f>B4/D5*100</f>
        <v>2.9184247538677917</v>
      </c>
      <c r="F7" s="422" t="s">
        <v>5</v>
      </c>
      <c r="G7" s="423"/>
      <c r="H7" s="424"/>
      <c r="I7" s="424"/>
    </row>
    <row r="8" spans="1:12" s="56" customFormat="1" ht="20.100000000000001" customHeight="1" thickBot="1" x14ac:dyDescent="0.25">
      <c r="B8" s="492" t="s">
        <v>264</v>
      </c>
      <c r="C8" s="493"/>
      <c r="D8" s="493"/>
      <c r="E8" s="493"/>
      <c r="F8" s="494"/>
      <c r="G8" s="144"/>
      <c r="H8" s="144"/>
      <c r="I8" s="144"/>
      <c r="J8" s="144"/>
      <c r="K8"/>
      <c r="L8"/>
    </row>
    <row r="9" spans="1:12" s="133" customFormat="1" ht="192" customHeight="1" thickBot="1" x14ac:dyDescent="0.25">
      <c r="B9" s="480" t="s">
        <v>304</v>
      </c>
      <c r="C9" s="481"/>
      <c r="D9" s="481"/>
      <c r="E9" s="481"/>
      <c r="F9" s="482"/>
      <c r="J9"/>
    </row>
    <row r="10" spans="1:12" s="56" customFormat="1" ht="20.100000000000001" customHeight="1" thickBot="1" x14ac:dyDescent="0.25">
      <c r="B10" s="492" t="s">
        <v>263</v>
      </c>
      <c r="C10" s="493"/>
      <c r="D10" s="493"/>
      <c r="E10" s="493"/>
      <c r="F10" s="494"/>
      <c r="G10" s="144"/>
      <c r="H10" s="144"/>
      <c r="I10" s="144"/>
      <c r="J10" s="144"/>
      <c r="K10"/>
      <c r="L10"/>
    </row>
    <row r="11" spans="1:12" ht="15" customHeight="1" x14ac:dyDescent="0.2">
      <c r="A11" s="1"/>
      <c r="B11" s="149"/>
      <c r="C11" s="35"/>
      <c r="D11" s="35"/>
      <c r="F11" s="2"/>
      <c r="G11" s="235"/>
      <c r="H11" s="236"/>
      <c r="I11" s="236"/>
    </row>
    <row r="12" spans="1:12" s="22" customFormat="1" ht="20.100000000000001" customHeight="1" x14ac:dyDescent="0.2">
      <c r="A12" s="391"/>
      <c r="B12" s="397" t="s">
        <v>198</v>
      </c>
      <c r="C12" s="215"/>
      <c r="D12" s="398">
        <v>4000</v>
      </c>
      <c r="F12" s="395"/>
      <c r="G12" s="396"/>
      <c r="H12" s="216"/>
      <c r="I12" s="216"/>
    </row>
    <row r="13" spans="1:12" ht="12.75" customHeight="1" x14ac:dyDescent="0.2">
      <c r="A13" s="1"/>
      <c r="B13" s="238"/>
      <c r="C13" s="214"/>
      <c r="D13" s="214"/>
      <c r="F13" s="2"/>
      <c r="G13" s="235"/>
      <c r="H13" s="236"/>
      <c r="I13" s="236"/>
    </row>
    <row r="14" spans="1:12" x14ac:dyDescent="0.2">
      <c r="A14" s="1"/>
      <c r="B14" s="149"/>
      <c r="C14" s="35"/>
      <c r="D14" s="27"/>
      <c r="E14" s="35"/>
      <c r="F14" s="2"/>
      <c r="G14" s="235"/>
      <c r="H14" s="236"/>
      <c r="I14" s="236"/>
    </row>
    <row r="15" spans="1:12" ht="15" customHeight="1" x14ac:dyDescent="0.2">
      <c r="A15" s="1"/>
      <c r="B15" s="150" t="s">
        <v>25</v>
      </c>
      <c r="C15" s="37"/>
      <c r="D15" s="37"/>
      <c r="E15" s="27"/>
      <c r="F15" s="2"/>
      <c r="G15" s="235"/>
      <c r="H15" s="236"/>
      <c r="I15" s="236"/>
    </row>
    <row r="16" spans="1:12" x14ac:dyDescent="0.2">
      <c r="A16" s="1"/>
      <c r="B16" s="153" t="s">
        <v>26</v>
      </c>
      <c r="C16" s="38" t="s">
        <v>27</v>
      </c>
      <c r="D16" s="38" t="s">
        <v>28</v>
      </c>
      <c r="E16" s="38" t="s">
        <v>29</v>
      </c>
      <c r="F16" s="2"/>
      <c r="G16" s="39"/>
    </row>
    <row r="17" spans="1:10" x14ac:dyDescent="0.2">
      <c r="A17" s="1"/>
      <c r="B17" s="154" t="s">
        <v>30</v>
      </c>
      <c r="C17" s="155">
        <v>0.03</v>
      </c>
      <c r="D17" s="156">
        <f>IF(D5&gt;200000,200000,IF(D5&gt;D12,D5,0))</f>
        <v>200000</v>
      </c>
      <c r="E17" s="156">
        <f>IF(D17*C17&gt;D12,D17*C17,D12)</f>
        <v>6000</v>
      </c>
      <c r="F17" s="2"/>
      <c r="G17" s="39"/>
    </row>
    <row r="18" spans="1:10" x14ac:dyDescent="0.2">
      <c r="A18" s="1"/>
      <c r="B18" s="1" t="s">
        <v>31</v>
      </c>
      <c r="C18" s="40">
        <v>1.4999999999999999E-2</v>
      </c>
      <c r="D18" s="13">
        <f>IF(D5&gt;400000,400000-200000,IF(D5&gt;200000,D5-200000,0))</f>
        <v>84400</v>
      </c>
      <c r="E18" s="13">
        <f>D18*C18</f>
        <v>1266</v>
      </c>
      <c r="F18" s="2"/>
      <c r="G18" s="39"/>
    </row>
    <row r="19" spans="1:10" x14ac:dyDescent="0.2">
      <c r="A19" s="1"/>
      <c r="B19" s="1" t="s">
        <v>32</v>
      </c>
      <c r="C19" s="40">
        <v>0.01</v>
      </c>
      <c r="D19" s="13">
        <f>IF(D5&gt;600000,600000-400000,IF(D5&gt;400000,D5-400000,0))</f>
        <v>0</v>
      </c>
      <c r="E19" s="13">
        <f>D19*C19</f>
        <v>0</v>
      </c>
      <c r="F19" s="2"/>
      <c r="G19" s="39"/>
    </row>
    <row r="20" spans="1:10" x14ac:dyDescent="0.2">
      <c r="A20" s="1"/>
      <c r="B20" s="1" t="s">
        <v>33</v>
      </c>
      <c r="C20" s="40">
        <v>5.0000000000000001E-3</v>
      </c>
      <c r="D20" s="13">
        <f>IF(D5&gt;800000,800000-600000,IF(D5&gt;600000,D5-600000,0))</f>
        <v>0</v>
      </c>
      <c r="E20" s="13">
        <f>D20*C20</f>
        <v>0</v>
      </c>
      <c r="F20" s="2"/>
      <c r="G20" s="39"/>
    </row>
    <row r="21" spans="1:10" x14ac:dyDescent="0.2">
      <c r="A21" s="1"/>
      <c r="B21" s="157" t="s">
        <v>34</v>
      </c>
      <c r="C21" s="41">
        <v>1E-3</v>
      </c>
      <c r="D21" s="42">
        <f>IF(D5&gt;800000,D5-800000,0)</f>
        <v>0</v>
      </c>
      <c r="E21" s="42">
        <f>D21*C21</f>
        <v>0</v>
      </c>
      <c r="F21" s="2"/>
      <c r="G21" s="43"/>
    </row>
    <row r="22" spans="1:10" x14ac:dyDescent="0.2">
      <c r="A22" s="1"/>
      <c r="B22" s="1"/>
      <c r="C22" s="158"/>
      <c r="D22" s="159" t="s">
        <v>12</v>
      </c>
      <c r="E22" s="160">
        <f>SUM(E17:E21)</f>
        <v>7266</v>
      </c>
      <c r="F22" s="2"/>
    </row>
    <row r="23" spans="1:10" x14ac:dyDescent="0.2">
      <c r="A23" s="1"/>
      <c r="B23" s="1"/>
      <c r="D23" s="38"/>
      <c r="E23" s="44"/>
      <c r="F23" s="2"/>
      <c r="G23" s="191"/>
    </row>
    <row r="24" spans="1:10" x14ac:dyDescent="0.2">
      <c r="A24" s="1"/>
      <c r="B24" s="1"/>
      <c r="D24" s="38"/>
      <c r="E24" s="44"/>
      <c r="F24" s="2"/>
      <c r="G24" s="191"/>
    </row>
    <row r="25" spans="1:10" x14ac:dyDescent="0.2">
      <c r="A25" s="1"/>
      <c r="B25" s="1"/>
      <c r="D25" s="46"/>
      <c r="E25" s="27"/>
      <c r="F25" s="2"/>
    </row>
    <row r="26" spans="1:10" x14ac:dyDescent="0.2">
      <c r="A26" s="1"/>
      <c r="B26" s="1"/>
      <c r="C26" s="161" t="s">
        <v>35</v>
      </c>
      <c r="D26" s="161" t="s">
        <v>36</v>
      </c>
      <c r="E26" s="152"/>
      <c r="F26" s="2"/>
    </row>
    <row r="27" spans="1:10" ht="39.950000000000003" customHeight="1" x14ac:dyDescent="0.2">
      <c r="A27" s="1"/>
      <c r="B27" s="1"/>
      <c r="C27" s="490" t="s">
        <v>140</v>
      </c>
      <c r="D27" s="490"/>
      <c r="E27" s="84">
        <v>1000</v>
      </c>
      <c r="F27" s="2"/>
      <c r="G27" s="485" t="s">
        <v>202</v>
      </c>
      <c r="H27" s="486"/>
      <c r="I27" s="486"/>
    </row>
    <row r="28" spans="1:10" ht="39.950000000000003" customHeight="1" x14ac:dyDescent="0.2">
      <c r="A28" s="1"/>
      <c r="B28" s="237" t="s">
        <v>143</v>
      </c>
      <c r="C28" s="491" t="s">
        <v>142</v>
      </c>
      <c r="D28" s="491"/>
      <c r="E28" s="335">
        <v>0</v>
      </c>
      <c r="F28" s="2"/>
      <c r="G28" s="487" t="s">
        <v>144</v>
      </c>
      <c r="H28" s="488"/>
      <c r="I28" s="488"/>
    </row>
    <row r="29" spans="1:10" ht="39.950000000000003" customHeight="1" x14ac:dyDescent="0.2">
      <c r="A29" s="1"/>
      <c r="B29" s="237" t="s">
        <v>199</v>
      </c>
      <c r="C29" s="491" t="s">
        <v>200</v>
      </c>
      <c r="D29" s="491"/>
      <c r="E29" s="335">
        <v>0</v>
      </c>
      <c r="F29" s="2"/>
      <c r="G29" s="487" t="s">
        <v>144</v>
      </c>
      <c r="H29" s="488"/>
      <c r="I29" s="488"/>
    </row>
    <row r="30" spans="1:10" ht="51.75" customHeight="1" x14ac:dyDescent="0.2">
      <c r="A30" s="1"/>
      <c r="B30" s="334" t="s">
        <v>141</v>
      </c>
      <c r="C30" s="489" t="s">
        <v>201</v>
      </c>
      <c r="D30" s="489"/>
      <c r="E30" s="335">
        <v>0</v>
      </c>
      <c r="F30" s="239"/>
      <c r="G30" s="487" t="s">
        <v>144</v>
      </c>
      <c r="H30" s="488"/>
      <c r="I30" s="488"/>
      <c r="J30" s="49"/>
    </row>
    <row r="31" spans="1:10" x14ac:dyDescent="0.2">
      <c r="A31" s="1"/>
      <c r="B31" s="1"/>
      <c r="C31" s="158"/>
      <c r="D31" s="159" t="s">
        <v>37</v>
      </c>
      <c r="E31" s="160">
        <f>E22+SUM(E27:E30)</f>
        <v>8266</v>
      </c>
      <c r="F31" s="2"/>
      <c r="G31" s="45"/>
      <c r="J31" s="49"/>
    </row>
    <row r="32" spans="1:10" ht="13.15" customHeight="1" x14ac:dyDescent="0.2">
      <c r="A32" s="1"/>
      <c r="B32" s="1"/>
      <c r="D32" s="46"/>
      <c r="E32" s="27"/>
      <c r="F32" s="2"/>
      <c r="G32" s="483" t="s">
        <v>305</v>
      </c>
      <c r="H32" s="484"/>
      <c r="I32" s="484"/>
      <c r="J32" s="49"/>
    </row>
    <row r="33" spans="1:14" ht="15.75" x14ac:dyDescent="0.25">
      <c r="A33" s="1"/>
      <c r="B33" s="163"/>
      <c r="C33" s="164"/>
      <c r="D33" s="165" t="s">
        <v>38</v>
      </c>
      <c r="E33" s="170">
        <f>ROUND(E31,-2)</f>
        <v>8300</v>
      </c>
      <c r="F33" s="2"/>
      <c r="G33" s="483"/>
      <c r="H33" s="484"/>
      <c r="I33" s="484"/>
      <c r="J33" s="49"/>
    </row>
    <row r="34" spans="1:14" x14ac:dyDescent="0.2">
      <c r="A34" s="1"/>
      <c r="B34" s="1"/>
      <c r="D34" s="38"/>
      <c r="E34" s="44"/>
      <c r="F34" s="2"/>
      <c r="G34" s="483"/>
      <c r="H34" s="484"/>
      <c r="I34" s="484"/>
    </row>
    <row r="35" spans="1:14" x14ac:dyDescent="0.2">
      <c r="A35" s="1"/>
      <c r="B35" s="166" t="s">
        <v>306</v>
      </c>
      <c r="D35" s="36"/>
      <c r="E35" s="13"/>
      <c r="F35" s="2"/>
      <c r="G35" s="483"/>
      <c r="H35" s="484"/>
      <c r="I35" s="484"/>
    </row>
    <row r="36" spans="1:14" ht="26.45" customHeight="1" thickBot="1" x14ac:dyDescent="0.25">
      <c r="B36" s="167"/>
      <c r="C36" s="168"/>
      <c r="D36" s="168"/>
      <c r="E36" s="168"/>
      <c r="F36" s="169"/>
      <c r="G36" s="483"/>
      <c r="H36" s="484"/>
      <c r="I36" s="484"/>
    </row>
    <row r="38" spans="1:14" x14ac:dyDescent="0.2">
      <c r="I38" s="53"/>
    </row>
    <row r="39" spans="1:14" x14ac:dyDescent="0.2">
      <c r="A39" s="49"/>
      <c r="G39" s="49"/>
      <c r="J39" s="49"/>
      <c r="K39" s="49"/>
      <c r="N39" s="49"/>
    </row>
    <row r="40" spans="1:14" x14ac:dyDescent="0.2">
      <c r="D40" s="49"/>
      <c r="F40" s="49"/>
    </row>
    <row r="41" spans="1:14" x14ac:dyDescent="0.2">
      <c r="G41" s="49"/>
    </row>
  </sheetData>
  <sheetProtection selectLockedCells="1" selectUnlockedCells="1"/>
  <mergeCells count="13">
    <mergeCell ref="B3:F3"/>
    <mergeCell ref="B9:F9"/>
    <mergeCell ref="G32:I36"/>
    <mergeCell ref="G27:I27"/>
    <mergeCell ref="G30:I30"/>
    <mergeCell ref="C30:D30"/>
    <mergeCell ref="C27:D27"/>
    <mergeCell ref="C29:D29"/>
    <mergeCell ref="C28:D28"/>
    <mergeCell ref="G28:I28"/>
    <mergeCell ref="G29:I29"/>
    <mergeCell ref="B10:F10"/>
    <mergeCell ref="B8:F8"/>
  </mergeCells>
  <conditionalFormatting sqref="E7">
    <cfRule type="cellIs" dxfId="1" priority="1" operator="greaterThan">
      <formula>7.4</formula>
    </cfRule>
    <cfRule type="cellIs" dxfId="0" priority="2" operator="greaterThan">
      <formula>7.5</formula>
    </cfRule>
  </conditionalFormatting>
  <pageMargins left="0.78740157480314965" right="0.78740157480314965" top="0.98425196850393704" bottom="0.98425196850393704" header="0.51181102362204722" footer="0.51181102362204722"/>
  <pageSetup paperSize="9" scale="63" firstPageNumber="0" orientation="portrait" horizontalDpi="300" verticalDpi="300" r:id="rId1"/>
  <headerFooter alignWithMargins="0">
    <oddHeader>&amp;L&amp;F   - -   &amp;A   - -   p. &amp;P / &amp;N   - - - - -   &amp;D</oddHeader>
    <oddFooter>&amp;L&amp;"Courier New,Regular"&amp;8&amp;Z&amp;F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0"/>
  <sheetViews>
    <sheetView topLeftCell="A16" zoomScaleNormal="100" zoomScaleSheetLayoutView="100" workbookViewId="0">
      <selection activeCell="D30" sqref="D30"/>
    </sheetView>
  </sheetViews>
  <sheetFormatPr baseColWidth="10" defaultColWidth="11.42578125" defaultRowHeight="12.75" x14ac:dyDescent="0.2"/>
  <cols>
    <col min="1" max="1" width="2.42578125" customWidth="1"/>
    <col min="2" max="2" width="61.140625" customWidth="1"/>
    <col min="3" max="3" width="12" customWidth="1"/>
    <col min="4" max="4" width="26.140625" customWidth="1"/>
    <col min="5" max="5" width="33.7109375" customWidth="1"/>
    <col min="6" max="7" width="19.7109375" customWidth="1"/>
    <col min="8" max="8" width="13.140625" customWidth="1"/>
    <col min="9" max="9" width="14.140625" customWidth="1"/>
    <col min="10" max="10" width="15" customWidth="1"/>
    <col min="11" max="11" width="10.28515625" customWidth="1"/>
    <col min="12" max="12" width="13.140625" customWidth="1"/>
    <col min="15" max="15" width="10.28515625" customWidth="1"/>
    <col min="16" max="16" width="13.140625" customWidth="1"/>
    <col min="17" max="17" width="18.7109375" customWidth="1"/>
  </cols>
  <sheetData>
    <row r="1" spans="1:12" ht="15" x14ac:dyDescent="0.2">
      <c r="B1" s="80" t="str">
        <f>'Budget global'!B1</f>
        <v>VILLE_Projet de xxxxxxxxxxxxxxxxxxxxxxxxxxxxxxxxxxxxxx</v>
      </c>
      <c r="D1" s="36" t="s">
        <v>90</v>
      </c>
      <c r="E1" s="82" t="str">
        <f>'Budget global'!D1</f>
        <v>XX-XX-XXXX</v>
      </c>
    </row>
    <row r="2" spans="1:12" ht="15" customHeight="1" thickBot="1" x14ac:dyDescent="0.25">
      <c r="B2" s="35"/>
      <c r="C2" s="95"/>
      <c r="D2" s="96"/>
    </row>
    <row r="3" spans="1:12" s="56" customFormat="1" ht="20.100000000000001" customHeight="1" thickBot="1" x14ac:dyDescent="0.25">
      <c r="B3" s="459" t="s">
        <v>116</v>
      </c>
      <c r="C3" s="460"/>
      <c r="D3" s="460"/>
      <c r="E3" s="461"/>
      <c r="F3" s="144"/>
      <c r="G3"/>
      <c r="H3" s="144"/>
      <c r="I3" s="144"/>
      <c r="J3" s="144"/>
      <c r="K3"/>
      <c r="L3"/>
    </row>
    <row r="4" spans="1:12" s="133" customFormat="1" ht="13.5" thickBot="1" x14ac:dyDescent="0.25">
      <c r="G4"/>
      <c r="J4" s="134"/>
    </row>
    <row r="5" spans="1:12" ht="25.5" customHeight="1" x14ac:dyDescent="0.2">
      <c r="A5" s="1"/>
      <c r="B5" s="380" t="s">
        <v>248</v>
      </c>
      <c r="C5" s="32"/>
      <c r="D5" s="33"/>
      <c r="E5" s="34"/>
    </row>
    <row r="6" spans="1:12" ht="15" customHeight="1" x14ac:dyDescent="0.2">
      <c r="A6" s="1"/>
      <c r="B6" s="149"/>
      <c r="C6" s="35"/>
      <c r="D6" s="35"/>
      <c r="E6" s="2"/>
    </row>
    <row r="7" spans="1:12" x14ac:dyDescent="0.2">
      <c r="A7" s="1"/>
      <c r="B7" s="1" t="s">
        <v>60</v>
      </c>
      <c r="D7" s="198">
        <v>125000</v>
      </c>
      <c r="E7" s="2"/>
    </row>
    <row r="8" spans="1:12" x14ac:dyDescent="0.2">
      <c r="A8" s="1"/>
      <c r="B8" s="1"/>
      <c r="E8" s="2"/>
    </row>
    <row r="9" spans="1:12" x14ac:dyDescent="0.2">
      <c r="A9" s="1"/>
      <c r="B9" s="150" t="s">
        <v>59</v>
      </c>
      <c r="C9" s="151"/>
      <c r="D9" s="243">
        <f>'Budget global'!G68</f>
        <v>2370000</v>
      </c>
      <c r="E9" s="171"/>
    </row>
    <row r="10" spans="1:12" x14ac:dyDescent="0.2">
      <c r="A10" s="1"/>
      <c r="B10" s="149"/>
      <c r="C10" s="172"/>
      <c r="D10" s="333" t="s">
        <v>293</v>
      </c>
      <c r="E10" s="171"/>
      <c r="F10" s="100"/>
    </row>
    <row r="11" spans="1:12" x14ac:dyDescent="0.2">
      <c r="A11" s="1"/>
      <c r="B11" s="149"/>
      <c r="C11" s="35"/>
      <c r="D11" s="297"/>
      <c r="E11" s="171"/>
      <c r="F11" s="100"/>
    </row>
    <row r="12" spans="1:12" x14ac:dyDescent="0.2">
      <c r="A12" s="1"/>
      <c r="B12" s="173" t="s">
        <v>58</v>
      </c>
      <c r="C12" s="174">
        <f>B24</f>
        <v>45809</v>
      </c>
      <c r="D12" s="175">
        <f>(0.4*C24/C25)+(0.4*D24/(D25/40.3399))+0.2</f>
        <v>2.3026319686218182</v>
      </c>
      <c r="E12" s="379" t="s">
        <v>247</v>
      </c>
    </row>
    <row r="13" spans="1:12" x14ac:dyDescent="0.2">
      <c r="A13" s="1"/>
      <c r="B13" s="1"/>
      <c r="E13" s="2"/>
    </row>
    <row r="14" spans="1:12" x14ac:dyDescent="0.2">
      <c r="A14" s="1"/>
      <c r="B14" s="153" t="s">
        <v>57</v>
      </c>
      <c r="C14" s="38" t="s">
        <v>27</v>
      </c>
      <c r="D14" s="38" t="s">
        <v>28</v>
      </c>
      <c r="E14" s="176" t="s">
        <v>56</v>
      </c>
      <c r="F14" s="39"/>
    </row>
    <row r="15" spans="1:12" x14ac:dyDescent="0.2">
      <c r="A15" s="1"/>
      <c r="B15" s="154" t="s">
        <v>55</v>
      </c>
      <c r="C15" s="155">
        <v>0.01</v>
      </c>
      <c r="D15" s="156">
        <f>IF(D9&gt;250000*D12,250000*D12,IF(D9&gt;D7,D9,0))</f>
        <v>575657.99215545459</v>
      </c>
      <c r="E15" s="177">
        <f>D15*C15</f>
        <v>5756.5799215545458</v>
      </c>
      <c r="F15" s="39"/>
    </row>
    <row r="16" spans="1:12" x14ac:dyDescent="0.2">
      <c r="A16" s="1"/>
      <c r="B16" s="1" t="s">
        <v>54</v>
      </c>
      <c r="C16" s="40">
        <v>7.4999999999999997E-3</v>
      </c>
      <c r="D16" s="13">
        <f>IF(D9&gt;1250000*D12,(1250000-250000)*D12,IF(D9&gt;250000*D119,D9-250000*D12,0))</f>
        <v>1794342.0078445454</v>
      </c>
      <c r="E16" s="178">
        <f>D16*C16</f>
        <v>13457.56505883409</v>
      </c>
      <c r="F16" s="39"/>
    </row>
    <row r="17" spans="1:13" x14ac:dyDescent="0.2">
      <c r="A17" s="1"/>
      <c r="B17" s="1" t="s">
        <v>53</v>
      </c>
      <c r="C17" s="40">
        <v>5.0000000000000001E-3</v>
      </c>
      <c r="D17" s="13">
        <f>IF(D9&gt;2500000*D12,(2500000-1250000)*D12,IF(D9&gt;1250000*D12,D9-1250000*D12,0))</f>
        <v>0</v>
      </c>
      <c r="E17" s="178">
        <f>D17*C17</f>
        <v>0</v>
      </c>
      <c r="F17" s="39"/>
    </row>
    <row r="18" spans="1:13" x14ac:dyDescent="0.2">
      <c r="A18" s="1"/>
      <c r="B18" s="157" t="s">
        <v>52</v>
      </c>
      <c r="C18" s="41">
        <v>2.5000000000000001E-3</v>
      </c>
      <c r="D18" s="42">
        <f>IF(D9&gt;2500000*D12,D9-2500000*D12,0)</f>
        <v>0</v>
      </c>
      <c r="E18" s="179">
        <f>D18*C18</f>
        <v>0</v>
      </c>
      <c r="F18" s="43"/>
    </row>
    <row r="19" spans="1:13" ht="90" customHeight="1" x14ac:dyDescent="0.2">
      <c r="A19" s="1"/>
      <c r="B19" s="435" t="s">
        <v>301</v>
      </c>
      <c r="C19" s="72"/>
      <c r="D19" s="162" t="s">
        <v>51</v>
      </c>
      <c r="E19" s="177">
        <f>SUM(E15:E18)</f>
        <v>19214.144980388635</v>
      </c>
      <c r="F19" s="73"/>
    </row>
    <row r="20" spans="1:13" ht="15.75" x14ac:dyDescent="0.25">
      <c r="A20" s="1"/>
      <c r="B20" s="1"/>
      <c r="D20" s="336" t="s">
        <v>176</v>
      </c>
      <c r="E20" s="294">
        <f>ROUNDUP(E19,-2)</f>
        <v>19300</v>
      </c>
      <c r="F20" s="45"/>
    </row>
    <row r="21" spans="1:13" x14ac:dyDescent="0.2">
      <c r="A21" s="1"/>
      <c r="B21" s="1"/>
      <c r="D21" s="46"/>
      <c r="E21" s="180"/>
    </row>
    <row r="22" spans="1:13" x14ac:dyDescent="0.2">
      <c r="A22" s="1"/>
      <c r="B22" s="166" t="s">
        <v>68</v>
      </c>
      <c r="D22" s="36"/>
      <c r="E22" s="178"/>
    </row>
    <row r="23" spans="1:13" ht="72.75" customHeight="1" x14ac:dyDescent="0.2">
      <c r="B23" s="181" t="s">
        <v>254</v>
      </c>
      <c r="C23" s="386" t="s">
        <v>253</v>
      </c>
      <c r="D23" s="386" t="s">
        <v>252</v>
      </c>
      <c r="E23" s="178"/>
    </row>
    <row r="24" spans="1:13" ht="47.25" customHeight="1" thickBot="1" x14ac:dyDescent="0.25">
      <c r="B24" s="410">
        <v>45809</v>
      </c>
      <c r="C24" s="282">
        <v>12803</v>
      </c>
      <c r="D24" s="282">
        <v>38.753999999999998</v>
      </c>
      <c r="E24" s="182"/>
    </row>
    <row r="25" spans="1:13" ht="13.5" hidden="1" thickBot="1" x14ac:dyDescent="0.25">
      <c r="B25" s="71">
        <v>34710</v>
      </c>
      <c r="C25" s="70">
        <v>3818</v>
      </c>
      <c r="D25" s="69">
        <v>821.4</v>
      </c>
      <c r="E25" s="47"/>
    </row>
    <row r="29" spans="1:13" x14ac:dyDescent="0.2">
      <c r="A29" s="65"/>
      <c r="F29" s="67"/>
      <c r="G29" s="66"/>
      <c r="H29" s="68"/>
      <c r="I29" s="65"/>
      <c r="J29" s="67"/>
      <c r="K29" s="66"/>
      <c r="L29" s="68"/>
      <c r="M29" s="65"/>
    </row>
    <row r="30" spans="1:13" x14ac:dyDescent="0.2">
      <c r="A30" s="65"/>
      <c r="D30" s="67"/>
      <c r="E30" s="66"/>
      <c r="F30" s="67"/>
      <c r="G30" s="66"/>
      <c r="H30" s="68"/>
      <c r="I30" s="65"/>
      <c r="J30" s="67"/>
      <c r="K30" s="66"/>
      <c r="L30" s="68"/>
      <c r="M30" s="65"/>
    </row>
    <row r="31" spans="1:13" x14ac:dyDescent="0.2">
      <c r="A31" s="49"/>
      <c r="D31" s="67"/>
      <c r="E31" s="66"/>
      <c r="F31" s="49"/>
      <c r="G31" s="50"/>
      <c r="H31" s="53"/>
      <c r="I31" s="49"/>
      <c r="J31" s="49"/>
      <c r="K31" s="50"/>
      <c r="L31" s="52"/>
      <c r="M31" s="49"/>
    </row>
    <row r="32" spans="1:13" x14ac:dyDescent="0.2">
      <c r="E32" s="51"/>
      <c r="F32" s="49"/>
      <c r="G32" s="51"/>
      <c r="I32" s="49"/>
      <c r="J32" s="49"/>
      <c r="K32" s="50"/>
      <c r="L32" s="52"/>
      <c r="M32" s="49"/>
    </row>
    <row r="33" spans="1:13" x14ac:dyDescent="0.2">
      <c r="F33" s="49"/>
      <c r="G33" s="51"/>
      <c r="I33" s="49"/>
      <c r="J33" s="49"/>
      <c r="K33" s="50"/>
      <c r="L33" s="52"/>
      <c r="M33" s="49"/>
    </row>
    <row r="34" spans="1:13" x14ac:dyDescent="0.2">
      <c r="D34" s="49"/>
      <c r="F34" s="49"/>
      <c r="H34" s="53"/>
      <c r="J34" s="49"/>
      <c r="K34" s="50"/>
      <c r="L34" s="52"/>
      <c r="M34" s="49"/>
    </row>
    <row r="35" spans="1:13" x14ac:dyDescent="0.2">
      <c r="D35" s="49"/>
      <c r="F35" s="49"/>
      <c r="H35" s="53"/>
      <c r="J35" s="49"/>
      <c r="K35" s="50"/>
      <c r="L35" s="52"/>
      <c r="M35" s="49"/>
    </row>
    <row r="36" spans="1:13" x14ac:dyDescent="0.2">
      <c r="D36" s="49"/>
      <c r="H36" s="53"/>
      <c r="K36" s="50"/>
      <c r="L36" s="50"/>
    </row>
    <row r="37" spans="1:13" x14ac:dyDescent="0.2">
      <c r="H37" s="53"/>
    </row>
    <row r="38" spans="1:13" x14ac:dyDescent="0.2">
      <c r="A38" s="49"/>
      <c r="F38" s="49"/>
      <c r="I38" s="49"/>
      <c r="J38" s="49"/>
      <c r="M38" s="49"/>
    </row>
    <row r="39" spans="1:13" x14ac:dyDescent="0.2">
      <c r="D39" s="49"/>
    </row>
    <row r="40" spans="1:13" x14ac:dyDescent="0.2">
      <c r="F40" s="49"/>
    </row>
  </sheetData>
  <sheetProtection selectLockedCells="1" selectUnlockedCells="1"/>
  <mergeCells count="1">
    <mergeCell ref="B3:E3"/>
  </mergeCells>
  <pageMargins left="0.78740157480314965" right="0.78740157480314965" top="0.98425196850393704" bottom="0.98425196850393704" header="0.51181102362204722" footer="0.51181102362204722"/>
  <pageSetup paperSize="9" scale="79" firstPageNumber="0" orientation="portrait" horizontalDpi="300" verticalDpi="300" r:id="rId1"/>
  <headerFooter alignWithMargins="0">
    <oddHeader>&amp;L&amp;F   - -   &amp;A   - -   p. &amp;P / &amp;N   - - - - -   &amp;D</oddHeader>
    <oddFooter>&amp;L&amp;"Courier New,Regular"&amp;8&amp;Z&amp;F</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82"/>
  <sheetViews>
    <sheetView topLeftCell="A3" zoomScale="80" zoomScaleNormal="80" workbookViewId="0">
      <selection activeCell="F48" sqref="F48"/>
    </sheetView>
  </sheetViews>
  <sheetFormatPr baseColWidth="10" defaultColWidth="14.85546875" defaultRowHeight="12.75" outlineLevelRow="2" x14ac:dyDescent="0.2"/>
  <cols>
    <col min="1" max="1" width="2.42578125" customWidth="1"/>
    <col min="2" max="7" width="14.7109375" customWidth="1"/>
    <col min="8" max="8" width="22.42578125" customWidth="1"/>
    <col min="9" max="9" width="14.7109375" customWidth="1"/>
    <col min="10" max="10" width="20.7109375" customWidth="1"/>
    <col min="11" max="12" width="14.7109375" customWidth="1"/>
    <col min="13" max="13" width="5" customWidth="1"/>
    <col min="14" max="15" width="22.7109375" style="242" customWidth="1"/>
    <col min="16" max="16" width="30.42578125" customWidth="1"/>
  </cols>
  <sheetData>
    <row r="1" spans="1:16" ht="15" x14ac:dyDescent="0.2">
      <c r="B1" s="80" t="str">
        <f>'Budget global'!B1</f>
        <v>VILLE_Projet de xxxxxxxxxxxxxxxxxxxxxxxxxxxxxxxxxxxxxx</v>
      </c>
      <c r="K1" s="36" t="s">
        <v>90</v>
      </c>
      <c r="L1" s="82" t="str">
        <f>'Budget global'!D1</f>
        <v>XX-XX-XXXX</v>
      </c>
      <c r="M1" s="82"/>
      <c r="N1"/>
      <c r="O1"/>
    </row>
    <row r="2" spans="1:16" ht="15" customHeight="1" thickBot="1" x14ac:dyDescent="0.25">
      <c r="B2" s="35"/>
      <c r="C2" s="95"/>
      <c r="D2" s="96"/>
    </row>
    <row r="3" spans="1:16" s="244" customFormat="1" ht="20.100000000000001" customHeight="1" thickBot="1" x14ac:dyDescent="0.25">
      <c r="B3" s="497" t="s">
        <v>119</v>
      </c>
      <c r="C3" s="498"/>
      <c r="D3" s="498"/>
      <c r="E3" s="498"/>
      <c r="F3" s="498"/>
      <c r="G3" s="498"/>
      <c r="H3" s="498"/>
      <c r="I3" s="498"/>
      <c r="J3" s="498"/>
      <c r="K3" s="498"/>
      <c r="L3" s="499"/>
      <c r="M3" s="382"/>
      <c r="P3"/>
    </row>
    <row r="4" spans="1:16" s="215" customFormat="1" ht="20.100000000000001" customHeight="1" thickBot="1" x14ac:dyDescent="0.25">
      <c r="B4" s="500" t="s">
        <v>148</v>
      </c>
      <c r="C4" s="501"/>
      <c r="D4" s="501"/>
      <c r="E4" s="501"/>
      <c r="F4" s="501"/>
      <c r="G4" s="501"/>
      <c r="H4" s="501"/>
      <c r="I4" s="501"/>
      <c r="J4" s="501"/>
      <c r="K4" s="501"/>
      <c r="L4" s="502"/>
      <c r="M4" s="383"/>
    </row>
    <row r="5" spans="1:16" s="214" customFormat="1" ht="13.5" thickBot="1" x14ac:dyDescent="0.25">
      <c r="B5" s="245"/>
      <c r="C5" s="245"/>
      <c r="D5" s="245"/>
      <c r="E5" s="245"/>
      <c r="F5" s="245"/>
      <c r="G5" s="245"/>
      <c r="H5" s="245"/>
      <c r="I5" s="245"/>
      <c r="J5" s="245"/>
      <c r="K5" s="245"/>
      <c r="N5" s="244"/>
    </row>
    <row r="6" spans="1:16" s="214" customFormat="1" ht="13.5" customHeight="1" thickBot="1" x14ac:dyDescent="0.25">
      <c r="A6" s="246"/>
      <c r="B6" s="508" t="s">
        <v>0</v>
      </c>
      <c r="C6" s="508"/>
      <c r="D6" s="508"/>
      <c r="E6" s="508"/>
      <c r="F6" s="508"/>
      <c r="G6" s="508"/>
      <c r="H6" s="508"/>
      <c r="I6" s="508"/>
      <c r="J6" s="508"/>
      <c r="K6" s="509" t="s">
        <v>46</v>
      </c>
      <c r="L6" s="509"/>
      <c r="M6" s="384"/>
      <c r="N6" s="503" t="s">
        <v>149</v>
      </c>
      <c r="O6" s="503"/>
    </row>
    <row r="7" spans="1:16" s="214" customFormat="1" ht="26.25" thickBot="1" x14ac:dyDescent="0.25">
      <c r="A7" s="238"/>
      <c r="B7" s="504" t="s">
        <v>1</v>
      </c>
      <c r="C7" s="504"/>
      <c r="D7" s="247" t="s">
        <v>125</v>
      </c>
      <c r="E7" s="247" t="s">
        <v>126</v>
      </c>
      <c r="F7" s="247" t="s">
        <v>127</v>
      </c>
      <c r="G7" s="248" t="s">
        <v>128</v>
      </c>
      <c r="H7" s="247" t="s">
        <v>129</v>
      </c>
      <c r="I7" s="249" t="s">
        <v>2</v>
      </c>
      <c r="J7" s="250" t="s">
        <v>3</v>
      </c>
      <c r="K7" s="509"/>
      <c r="L7" s="509"/>
      <c r="M7" s="385"/>
    </row>
    <row r="8" spans="1:16" s="214" customFormat="1" ht="13.5" customHeight="1" thickBot="1" x14ac:dyDescent="0.25">
      <c r="A8" s="238"/>
      <c r="B8" s="507" t="s">
        <v>4</v>
      </c>
      <c r="C8" s="507"/>
      <c r="D8" s="251">
        <v>0.06</v>
      </c>
      <c r="E8" s="252">
        <v>5.5E-2</v>
      </c>
      <c r="F8" s="253">
        <v>0.05</v>
      </c>
      <c r="G8" s="252">
        <v>4.4999999999999998E-2</v>
      </c>
      <c r="H8" s="252">
        <v>4.2500000000000003E-2</v>
      </c>
      <c r="I8" s="253">
        <v>0.04</v>
      </c>
      <c r="J8" s="254"/>
      <c r="K8" s="255" t="s">
        <v>47</v>
      </c>
      <c r="L8" s="256" t="s">
        <v>5</v>
      </c>
      <c r="M8" s="386"/>
    </row>
    <row r="9" spans="1:16" s="214" customFormat="1" ht="13.5" thickBot="1" x14ac:dyDescent="0.25">
      <c r="A9" s="238"/>
      <c r="B9" s="257" t="s">
        <v>6</v>
      </c>
      <c r="C9" s="267">
        <f>'Budget global'!G68</f>
        <v>2370000</v>
      </c>
      <c r="D9" s="258">
        <f>IF($C9&gt;$B$12,$B$12*$D$8,$C9*$D$8)</f>
        <v>13200</v>
      </c>
      <c r="E9" s="259">
        <f>IF($C9&gt;$B$13,($B$13-$B$12)*$E$8,IF($C9&gt;$B$12,($C9-$B$12)*$E$8,0))</f>
        <v>29150</v>
      </c>
      <c r="F9" s="259">
        <f>IF($C9&gt;$B$14,($B$14-$B$13)*$F$8,IF($C9&gt;$B$13,($C9-$B$13)*$F$8,0))</f>
        <v>57500</v>
      </c>
      <c r="G9" s="259">
        <f>IF($C9&gt;$B$15,($B$15-$B$14)*$G$8,IF($C9&gt;$B$14,($C9-$B$14)*$G$8,0))</f>
        <v>21150</v>
      </c>
      <c r="H9" s="259">
        <f>IF($C9&gt;$B$16,($B$16-$B$15)*$H$8,IF($C9&gt;$B$15,($C9-$B$15)*$H$8,0))</f>
        <v>0</v>
      </c>
      <c r="I9" s="259">
        <f>IF($C9&gt;$B$16,($C9-$B$16)*$I$8,0)</f>
        <v>0</v>
      </c>
      <c r="J9" s="260">
        <f>SUM(D9:I9)</f>
        <v>121000</v>
      </c>
      <c r="K9" s="261">
        <f>(C9*L9)/100</f>
        <v>120999.99999999999</v>
      </c>
      <c r="L9" s="262">
        <f>(J9/C9)*100</f>
        <v>5.1054852320675099</v>
      </c>
      <c r="M9" s="264"/>
      <c r="N9" s="263">
        <f>L9*O75</f>
        <v>4.9796827212157439E-2</v>
      </c>
    </row>
    <row r="10" spans="1:16" x14ac:dyDescent="0.2">
      <c r="A10" s="1"/>
      <c r="C10" s="214" t="s">
        <v>145</v>
      </c>
      <c r="J10" s="100" t="s">
        <v>203</v>
      </c>
      <c r="K10" s="340">
        <v>0</v>
      </c>
      <c r="L10" s="341">
        <f>K10/C9*100</f>
        <v>0</v>
      </c>
      <c r="M10" s="341"/>
      <c r="N10" s="263">
        <f>L10*O75</f>
        <v>0</v>
      </c>
      <c r="O10" s="214"/>
    </row>
    <row r="11" spans="1:16" x14ac:dyDescent="0.2">
      <c r="A11" s="1"/>
      <c r="C11" s="100"/>
      <c r="J11" s="319" t="s">
        <v>204</v>
      </c>
      <c r="K11" s="340">
        <v>0</v>
      </c>
      <c r="L11" s="341">
        <v>0</v>
      </c>
      <c r="M11" s="341"/>
      <c r="N11" s="263">
        <f>L11*O75</f>
        <v>0</v>
      </c>
      <c r="O11" s="214"/>
    </row>
    <row r="12" spans="1:16" s="214" customFormat="1" hidden="1" outlineLevel="2" x14ac:dyDescent="0.2">
      <c r="A12" s="238"/>
      <c r="B12" s="214">
        <v>220000</v>
      </c>
      <c r="C12" s="264"/>
      <c r="F12" s="264"/>
      <c r="G12" s="264"/>
    </row>
    <row r="13" spans="1:16" s="214" customFormat="1" hidden="1" outlineLevel="2" x14ac:dyDescent="0.2">
      <c r="A13" s="238"/>
      <c r="B13" s="214">
        <v>750000</v>
      </c>
    </row>
    <row r="14" spans="1:16" s="214" customFormat="1" hidden="1" outlineLevel="2" x14ac:dyDescent="0.2">
      <c r="A14" s="238"/>
      <c r="B14" s="214">
        <v>1900000</v>
      </c>
    </row>
    <row r="15" spans="1:16" s="214" customFormat="1" hidden="1" outlineLevel="2" x14ac:dyDescent="0.2">
      <c r="A15" s="238"/>
      <c r="B15" s="214">
        <v>7500000</v>
      </c>
    </row>
    <row r="16" spans="1:16" s="214" customFormat="1" hidden="1" outlineLevel="2" x14ac:dyDescent="0.2">
      <c r="A16" s="238"/>
      <c r="B16" s="214">
        <v>22600000</v>
      </c>
    </row>
    <row r="17" spans="1:16" ht="13.5" collapsed="1" thickBot="1" x14ac:dyDescent="0.25">
      <c r="A17" s="1"/>
      <c r="N17" s="214"/>
      <c r="O17" s="214"/>
    </row>
    <row r="18" spans="1:16" ht="13.5" thickBot="1" x14ac:dyDescent="0.25">
      <c r="A18" s="1"/>
      <c r="B18" s="505" t="s">
        <v>70</v>
      </c>
      <c r="C18" s="505"/>
      <c r="D18" s="505"/>
      <c r="E18" s="505"/>
      <c r="G18" s="505" t="s">
        <v>71</v>
      </c>
      <c r="H18" s="505"/>
      <c r="I18" s="505"/>
      <c r="J18" s="505"/>
      <c r="K18" s="506" t="s">
        <v>3</v>
      </c>
      <c r="L18" s="506"/>
      <c r="M18" s="387"/>
      <c r="N18" s="214"/>
      <c r="O18" s="214"/>
    </row>
    <row r="19" spans="1:16" ht="26.25" thickBot="1" x14ac:dyDescent="0.25">
      <c r="A19" s="1"/>
      <c r="B19" s="31" t="s">
        <v>7</v>
      </c>
      <c r="C19" s="31" t="s">
        <v>279</v>
      </c>
      <c r="D19" s="31" t="s">
        <v>8</v>
      </c>
      <c r="E19" s="59" t="s">
        <v>9</v>
      </c>
      <c r="G19" s="31" t="s">
        <v>48</v>
      </c>
      <c r="H19" s="59" t="s">
        <v>279</v>
      </c>
      <c r="I19" s="59" t="s">
        <v>8</v>
      </c>
      <c r="J19" s="59" t="s">
        <v>9</v>
      </c>
      <c r="K19" s="1"/>
      <c r="L19" s="2"/>
      <c r="N19" s="265" t="s">
        <v>21</v>
      </c>
      <c r="O19" s="265" t="s">
        <v>22</v>
      </c>
      <c r="P19" s="214"/>
    </row>
    <row r="20" spans="1:16" ht="13.5" thickBot="1" x14ac:dyDescent="0.25">
      <c r="A20" s="1"/>
      <c r="B20" s="510">
        <f>C9</f>
        <v>2370000</v>
      </c>
      <c r="C20" s="425">
        <v>0.15</v>
      </c>
      <c r="D20" s="512">
        <f>VLOOKUP(C21,B24:C62,2,TRUE)</f>
        <v>10.19</v>
      </c>
      <c r="E20" s="514">
        <f>(C21*D20)/100</f>
        <v>36225.449999999997</v>
      </c>
      <c r="G20" s="510">
        <f>C9</f>
        <v>2370000</v>
      </c>
      <c r="H20" s="425">
        <v>0.2</v>
      </c>
      <c r="I20" s="512">
        <f>VLOOKUP(H21,G24:H62,2,TRUE)</f>
        <v>12.24</v>
      </c>
      <c r="J20" s="514">
        <f>(H21*I20)/100</f>
        <v>58017.599999999999</v>
      </c>
      <c r="K20" s="518">
        <f>J20+E20</f>
        <v>94243.049999999988</v>
      </c>
      <c r="L20" s="520">
        <f>(K20/C9)*100</f>
        <v>3.9764999999999997</v>
      </c>
      <c r="M20" s="14"/>
      <c r="N20" s="517">
        <f>D22*O75*100</f>
        <v>1.4908367556468172E-2</v>
      </c>
      <c r="O20" s="517">
        <f>I22*O75*100</f>
        <v>2.3876796714579058E-2</v>
      </c>
    </row>
    <row r="21" spans="1:16" ht="13.5" customHeight="1" thickBot="1" x14ac:dyDescent="0.25">
      <c r="A21" s="1"/>
      <c r="B21" s="511"/>
      <c r="C21" s="3">
        <f>B20*C20</f>
        <v>355500</v>
      </c>
      <c r="D21" s="513"/>
      <c r="E21" s="515"/>
      <c r="G21" s="511"/>
      <c r="H21" s="4">
        <f>G20*H20</f>
        <v>474000</v>
      </c>
      <c r="I21" s="513"/>
      <c r="J21" s="515"/>
      <c r="K21" s="519"/>
      <c r="L21" s="521"/>
      <c r="M21" s="14"/>
      <c r="N21" s="517"/>
      <c r="O21" s="517"/>
    </row>
    <row r="22" spans="1:16" x14ac:dyDescent="0.2">
      <c r="A22" s="1"/>
      <c r="B22" s="26"/>
      <c r="C22" s="13" t="s">
        <v>20</v>
      </c>
      <c r="D22" s="28">
        <f>E20/C9</f>
        <v>1.5284999999999998E-2</v>
      </c>
      <c r="E22" s="13"/>
      <c r="G22" s="26"/>
      <c r="H22" s="13" t="s">
        <v>20</v>
      </c>
      <c r="I22" s="28">
        <f>J20/C9</f>
        <v>2.4479999999999998E-2</v>
      </c>
      <c r="J22" s="13"/>
      <c r="K22" s="27"/>
      <c r="L22" s="14"/>
      <c r="M22" s="14"/>
      <c r="N22" s="214"/>
      <c r="O22" s="214"/>
    </row>
    <row r="23" spans="1:16" x14ac:dyDescent="0.2">
      <c r="A23" s="1"/>
      <c r="N23" s="214"/>
      <c r="O23" s="214"/>
    </row>
    <row r="24" spans="1:16" ht="21" hidden="1" customHeight="1" outlineLevel="1" thickBot="1" x14ac:dyDescent="0.25">
      <c r="A24" s="1"/>
      <c r="B24" s="5" t="s">
        <v>10</v>
      </c>
      <c r="C24" s="6" t="s">
        <v>49</v>
      </c>
      <c r="G24" s="5" t="s">
        <v>10</v>
      </c>
      <c r="H24" s="6" t="s">
        <v>11</v>
      </c>
      <c r="N24" s="214"/>
      <c r="O24" s="214"/>
    </row>
    <row r="25" spans="1:16" ht="21" hidden="1" customHeight="1" outlineLevel="1" thickBot="1" x14ac:dyDescent="0.25">
      <c r="A25" s="1"/>
      <c r="B25" s="7">
        <v>0</v>
      </c>
      <c r="C25" s="2">
        <v>12.16</v>
      </c>
      <c r="G25" s="8">
        <v>0</v>
      </c>
      <c r="H25" s="2">
        <v>15.13</v>
      </c>
      <c r="N25" s="214"/>
      <c r="O25" s="214"/>
    </row>
    <row r="26" spans="1:16" ht="20.25" hidden="1" customHeight="1" outlineLevel="1" x14ac:dyDescent="0.2">
      <c r="A26" s="1"/>
      <c r="B26" s="7">
        <v>100000</v>
      </c>
      <c r="C26" s="2">
        <v>12.16</v>
      </c>
      <c r="G26" s="8">
        <v>100000</v>
      </c>
      <c r="H26" s="2">
        <v>15.13</v>
      </c>
      <c r="N26" s="214"/>
      <c r="O26" s="214"/>
    </row>
    <row r="27" spans="1:16" ht="20.25" hidden="1" customHeight="1" outlineLevel="1" x14ac:dyDescent="0.2">
      <c r="A27" s="1"/>
      <c r="B27" s="8">
        <v>125000</v>
      </c>
      <c r="C27" s="2">
        <v>11.78</v>
      </c>
      <c r="G27" s="8">
        <v>125000</v>
      </c>
      <c r="H27" s="2">
        <v>14.66</v>
      </c>
      <c r="N27" s="214"/>
      <c r="O27" s="214"/>
    </row>
    <row r="28" spans="1:16" ht="20.25" hidden="1" customHeight="1" outlineLevel="1" x14ac:dyDescent="0.2">
      <c r="A28" s="1"/>
      <c r="B28" s="8">
        <v>150000</v>
      </c>
      <c r="C28" s="2">
        <v>11.48</v>
      </c>
      <c r="G28" s="8">
        <v>150000</v>
      </c>
      <c r="H28" s="2">
        <v>14.29</v>
      </c>
      <c r="N28" s="214"/>
      <c r="O28" s="214"/>
    </row>
    <row r="29" spans="1:16" ht="12.75" hidden="1" customHeight="1" outlineLevel="1" x14ac:dyDescent="0.2">
      <c r="A29" s="1"/>
      <c r="B29" s="8">
        <v>175000</v>
      </c>
      <c r="C29" s="2">
        <v>11.24</v>
      </c>
      <c r="G29" s="8">
        <v>175000</v>
      </c>
      <c r="H29" s="2">
        <v>13.98</v>
      </c>
      <c r="N29" s="214"/>
      <c r="O29" s="214"/>
    </row>
    <row r="30" spans="1:16" ht="12.75" hidden="1" customHeight="1" outlineLevel="1" x14ac:dyDescent="0.2">
      <c r="A30" s="1"/>
      <c r="B30" s="8">
        <v>200000</v>
      </c>
      <c r="C30" s="2">
        <v>11.03</v>
      </c>
      <c r="G30" s="8">
        <v>200000</v>
      </c>
      <c r="H30" s="2">
        <v>13.72</v>
      </c>
      <c r="N30" s="214"/>
      <c r="O30" s="214"/>
    </row>
    <row r="31" spans="1:16" ht="12.75" hidden="1" customHeight="1" outlineLevel="1" x14ac:dyDescent="0.2">
      <c r="A31" s="1"/>
      <c r="B31" s="8">
        <v>225000</v>
      </c>
      <c r="C31" s="2">
        <v>10.85</v>
      </c>
      <c r="G31" s="8">
        <v>225000</v>
      </c>
      <c r="H31" s="2">
        <v>13.5</v>
      </c>
      <c r="N31" s="214"/>
      <c r="O31" s="214"/>
    </row>
    <row r="32" spans="1:16" ht="12.75" hidden="1" customHeight="1" outlineLevel="1" x14ac:dyDescent="0.2">
      <c r="A32" s="1"/>
      <c r="B32" s="8">
        <v>250000</v>
      </c>
      <c r="C32" s="2">
        <v>10.69</v>
      </c>
      <c r="G32" s="8">
        <v>250000</v>
      </c>
      <c r="H32" s="2">
        <v>13.3</v>
      </c>
      <c r="N32" s="214"/>
      <c r="O32" s="214"/>
    </row>
    <row r="33" spans="1:15" ht="12.75" hidden="1" customHeight="1" outlineLevel="1" x14ac:dyDescent="0.2">
      <c r="A33" s="1"/>
      <c r="B33" s="8">
        <v>300000</v>
      </c>
      <c r="C33" s="2">
        <v>10.42</v>
      </c>
      <c r="G33" s="8">
        <v>300000</v>
      </c>
      <c r="H33" s="2">
        <v>12.96</v>
      </c>
      <c r="N33" s="214"/>
      <c r="O33" s="214"/>
    </row>
    <row r="34" spans="1:15" ht="12.75" hidden="1" customHeight="1" outlineLevel="1" x14ac:dyDescent="0.2">
      <c r="A34" s="1"/>
      <c r="B34" s="8">
        <v>350000</v>
      </c>
      <c r="C34" s="2">
        <v>10.19</v>
      </c>
      <c r="G34" s="8">
        <v>350000</v>
      </c>
      <c r="H34" s="2">
        <v>12.68</v>
      </c>
      <c r="N34" s="214"/>
      <c r="O34" s="214"/>
    </row>
    <row r="35" spans="1:15" ht="12.75" hidden="1" customHeight="1" outlineLevel="1" x14ac:dyDescent="0.2">
      <c r="A35" s="1"/>
      <c r="B35" s="8">
        <v>400000</v>
      </c>
      <c r="C35" s="2">
        <v>10</v>
      </c>
      <c r="G35" s="8">
        <v>400000</v>
      </c>
      <c r="H35" s="2">
        <v>12.45</v>
      </c>
      <c r="N35" s="214"/>
      <c r="O35" s="214"/>
    </row>
    <row r="36" spans="1:15" ht="12.75" hidden="1" customHeight="1" outlineLevel="1" x14ac:dyDescent="0.2">
      <c r="A36" s="1"/>
      <c r="B36" s="8">
        <v>450000</v>
      </c>
      <c r="C36" s="2">
        <v>9.84</v>
      </c>
      <c r="G36" s="8">
        <v>450000</v>
      </c>
      <c r="H36" s="2">
        <v>12.24</v>
      </c>
      <c r="N36" s="214"/>
      <c r="O36" s="214"/>
    </row>
    <row r="37" spans="1:15" ht="12.75" hidden="1" customHeight="1" outlineLevel="1" x14ac:dyDescent="0.2">
      <c r="A37" s="1"/>
      <c r="B37" s="8">
        <v>500000</v>
      </c>
      <c r="C37" s="2">
        <v>9.69</v>
      </c>
      <c r="G37" s="8">
        <v>500000</v>
      </c>
      <c r="H37" s="2">
        <v>12.06</v>
      </c>
      <c r="N37" s="214"/>
      <c r="O37" s="214"/>
    </row>
    <row r="38" spans="1:15" ht="12.75" hidden="1" customHeight="1" outlineLevel="1" x14ac:dyDescent="0.2">
      <c r="A38" s="1"/>
      <c r="B38" s="8">
        <v>600000</v>
      </c>
      <c r="C38" s="2">
        <v>9.4499999999999993</v>
      </c>
      <c r="G38" s="8">
        <v>600000</v>
      </c>
      <c r="H38" s="2">
        <v>11.76</v>
      </c>
      <c r="N38" s="214"/>
      <c r="O38" s="214"/>
    </row>
    <row r="39" spans="1:15" ht="12.75" hidden="1" customHeight="1" outlineLevel="1" x14ac:dyDescent="0.2">
      <c r="A39" s="1"/>
      <c r="B39" s="8">
        <v>700000</v>
      </c>
      <c r="C39" s="2">
        <v>9.25</v>
      </c>
      <c r="G39" s="8">
        <v>700000</v>
      </c>
      <c r="H39" s="2">
        <v>11.51</v>
      </c>
      <c r="N39" s="214"/>
      <c r="O39" s="214"/>
    </row>
    <row r="40" spans="1:15" ht="12.75" hidden="1" customHeight="1" outlineLevel="1" x14ac:dyDescent="0.2">
      <c r="A40" s="1"/>
      <c r="B40" s="8">
        <v>800000</v>
      </c>
      <c r="C40" s="2">
        <v>9.07</v>
      </c>
      <c r="G40" s="8">
        <v>800000</v>
      </c>
      <c r="H40" s="2">
        <v>11.29</v>
      </c>
      <c r="N40" s="214"/>
      <c r="O40" s="214"/>
    </row>
    <row r="41" spans="1:15" ht="12.75" hidden="1" customHeight="1" outlineLevel="1" x14ac:dyDescent="0.2">
      <c r="A41" s="1"/>
      <c r="B41" s="8">
        <v>900000</v>
      </c>
      <c r="C41" s="2">
        <v>8.92</v>
      </c>
      <c r="G41" s="8">
        <v>900000</v>
      </c>
      <c r="H41" s="2">
        <v>11.11</v>
      </c>
      <c r="N41" s="214"/>
      <c r="O41" s="214"/>
    </row>
    <row r="42" spans="1:15" ht="12.75" hidden="1" customHeight="1" outlineLevel="1" x14ac:dyDescent="0.2">
      <c r="A42" s="1"/>
      <c r="B42" s="8">
        <v>1000000</v>
      </c>
      <c r="C42" s="2">
        <v>8.7899999999999991</v>
      </c>
      <c r="G42" s="8">
        <v>1000000</v>
      </c>
      <c r="H42" s="2">
        <v>10.94</v>
      </c>
      <c r="N42" s="214"/>
      <c r="O42" s="214"/>
    </row>
    <row r="43" spans="1:15" ht="12.75" hidden="1" customHeight="1" outlineLevel="1" x14ac:dyDescent="0.2">
      <c r="A43" s="1"/>
      <c r="B43" s="8">
        <v>1250000</v>
      </c>
      <c r="C43" s="2">
        <v>8.52</v>
      </c>
      <c r="G43" s="8">
        <v>1250000</v>
      </c>
      <c r="H43" s="2">
        <v>10.6</v>
      </c>
      <c r="N43" s="214"/>
      <c r="O43" s="214"/>
    </row>
    <row r="44" spans="1:15" ht="12.75" hidden="1" customHeight="1" outlineLevel="1" x14ac:dyDescent="0.2">
      <c r="A44" s="1"/>
      <c r="B44" s="8">
        <v>1500000</v>
      </c>
      <c r="C44" s="2">
        <v>8.31</v>
      </c>
      <c r="G44" s="8">
        <v>1500000</v>
      </c>
      <c r="H44" s="2">
        <v>10.34</v>
      </c>
      <c r="N44" s="214"/>
      <c r="O44" s="214"/>
    </row>
    <row r="45" spans="1:15" ht="12.75" hidden="1" customHeight="1" outlineLevel="1" x14ac:dyDescent="0.2">
      <c r="B45" s="8">
        <v>1750000</v>
      </c>
      <c r="C45" s="2">
        <v>8.1300000000000008</v>
      </c>
      <c r="G45" s="8">
        <v>1750000</v>
      </c>
      <c r="H45" s="2">
        <v>10.11</v>
      </c>
      <c r="N45" s="214"/>
      <c r="O45" s="214"/>
    </row>
    <row r="46" spans="1:15" ht="12.75" hidden="1" customHeight="1" outlineLevel="1" x14ac:dyDescent="0.2">
      <c r="B46" s="8">
        <v>2000000</v>
      </c>
      <c r="C46" s="2">
        <v>7.98</v>
      </c>
      <c r="G46" s="8">
        <v>2000000</v>
      </c>
      <c r="H46" s="2">
        <v>9.93</v>
      </c>
      <c r="N46" s="214"/>
      <c r="O46" s="214"/>
    </row>
    <row r="47" spans="1:15" ht="12.75" hidden="1" customHeight="1" outlineLevel="1" x14ac:dyDescent="0.2">
      <c r="A47" s="48"/>
      <c r="B47" s="8">
        <v>2250000</v>
      </c>
      <c r="C47" s="2">
        <v>7.84</v>
      </c>
      <c r="G47" s="8">
        <v>2250000</v>
      </c>
      <c r="H47" s="2">
        <v>9.76</v>
      </c>
      <c r="N47" s="214"/>
      <c r="O47" s="214"/>
    </row>
    <row r="48" spans="1:15" ht="12.75" hidden="1" customHeight="1" outlineLevel="1" x14ac:dyDescent="0.2">
      <c r="B48" s="8">
        <v>2500000</v>
      </c>
      <c r="C48" s="2">
        <v>7.73</v>
      </c>
      <c r="G48" s="8">
        <v>2500000</v>
      </c>
      <c r="H48" s="2">
        <v>9.6199999999999992</v>
      </c>
      <c r="N48" s="214"/>
      <c r="O48" s="214"/>
    </row>
    <row r="49" spans="1:15" ht="12.75" hidden="1" customHeight="1" outlineLevel="1" x14ac:dyDescent="0.2">
      <c r="B49" s="8">
        <v>3000000</v>
      </c>
      <c r="C49" s="2">
        <v>7.53</v>
      </c>
      <c r="G49" s="8">
        <v>3000000</v>
      </c>
      <c r="H49" s="2">
        <v>9.3800000000000008</v>
      </c>
      <c r="N49" s="214"/>
      <c r="O49" s="214"/>
    </row>
    <row r="50" spans="1:15" ht="12.75" hidden="1" customHeight="1" outlineLevel="1" x14ac:dyDescent="0.2">
      <c r="B50" s="8">
        <v>3500000</v>
      </c>
      <c r="C50" s="2">
        <v>7.37</v>
      </c>
      <c r="G50" s="8">
        <v>3500000</v>
      </c>
      <c r="H50" s="2">
        <v>9.18</v>
      </c>
      <c r="N50" s="214"/>
      <c r="O50" s="214"/>
    </row>
    <row r="51" spans="1:15" ht="12.75" hidden="1" customHeight="1" outlineLevel="1" x14ac:dyDescent="0.2">
      <c r="B51" s="8">
        <v>4000000</v>
      </c>
      <c r="C51" s="2">
        <v>7.23</v>
      </c>
      <c r="G51" s="8">
        <v>4000000</v>
      </c>
      <c r="H51" s="2">
        <v>9</v>
      </c>
      <c r="N51" s="214"/>
      <c r="O51" s="214"/>
    </row>
    <row r="52" spans="1:15" ht="12.75" hidden="1" customHeight="1" outlineLevel="1" x14ac:dyDescent="0.2">
      <c r="B52" s="8">
        <v>5000000</v>
      </c>
      <c r="C52" s="2">
        <v>7.01</v>
      </c>
      <c r="G52" s="8">
        <v>5000000</v>
      </c>
      <c r="H52" s="2">
        <v>8.73</v>
      </c>
      <c r="N52" s="214"/>
      <c r="O52" s="214"/>
    </row>
    <row r="53" spans="1:15" ht="12.75" hidden="1" customHeight="1" outlineLevel="1" x14ac:dyDescent="0.2">
      <c r="B53" s="8">
        <v>6000000</v>
      </c>
      <c r="C53" s="2">
        <v>6.83</v>
      </c>
      <c r="G53" s="8">
        <v>6000000</v>
      </c>
      <c r="H53" s="2">
        <v>8.51</v>
      </c>
      <c r="N53" s="214"/>
      <c r="O53" s="214"/>
    </row>
    <row r="54" spans="1:15" ht="12.75" hidden="1" customHeight="1" outlineLevel="1" x14ac:dyDescent="0.2">
      <c r="B54" s="8">
        <v>7000000</v>
      </c>
      <c r="C54" s="2">
        <v>6.69</v>
      </c>
      <c r="G54" s="8">
        <v>7000000</v>
      </c>
      <c r="H54" s="2">
        <v>8.32</v>
      </c>
      <c r="N54" s="214"/>
      <c r="O54" s="214"/>
    </row>
    <row r="55" spans="1:15" ht="12.75" hidden="1" customHeight="1" outlineLevel="1" x14ac:dyDescent="0.2">
      <c r="A55" s="49"/>
      <c r="B55" s="8">
        <v>8000000</v>
      </c>
      <c r="C55" s="2">
        <v>6.56</v>
      </c>
      <c r="G55" s="8">
        <v>8000000</v>
      </c>
      <c r="H55" s="2">
        <v>8.17</v>
      </c>
      <c r="N55" s="214"/>
      <c r="O55" s="214"/>
    </row>
    <row r="56" spans="1:15" ht="12.75" hidden="1" customHeight="1" outlineLevel="1" x14ac:dyDescent="0.2">
      <c r="B56" s="8">
        <v>9000000</v>
      </c>
      <c r="C56" s="2">
        <v>6.45</v>
      </c>
      <c r="G56" s="8">
        <v>9000000</v>
      </c>
      <c r="H56" s="2">
        <v>8.0299999999999994</v>
      </c>
      <c r="N56" s="214"/>
      <c r="O56" s="214"/>
    </row>
    <row r="57" spans="1:15" ht="12.75" hidden="1" customHeight="1" outlineLevel="1" x14ac:dyDescent="0.2">
      <c r="B57" s="8">
        <v>10000000</v>
      </c>
      <c r="C57" s="2">
        <v>6.36</v>
      </c>
      <c r="G57" s="8">
        <v>10000000</v>
      </c>
      <c r="H57" s="2">
        <v>7.92</v>
      </c>
      <c r="N57" s="214"/>
      <c r="O57" s="214"/>
    </row>
    <row r="58" spans="1:15" ht="12.75" hidden="1" customHeight="1" outlineLevel="1" x14ac:dyDescent="0.2">
      <c r="B58" s="8">
        <v>11000000</v>
      </c>
      <c r="C58" s="2">
        <v>6.27</v>
      </c>
      <c r="G58" s="8">
        <v>11000000</v>
      </c>
      <c r="H58" s="2">
        <v>7.81</v>
      </c>
      <c r="N58" s="214"/>
      <c r="O58" s="214"/>
    </row>
    <row r="59" spans="1:15" ht="12.75" hidden="1" customHeight="1" outlineLevel="1" x14ac:dyDescent="0.2">
      <c r="B59" s="8">
        <v>12000000</v>
      </c>
      <c r="C59" s="2">
        <v>6.2</v>
      </c>
      <c r="G59" s="8">
        <v>12000000</v>
      </c>
      <c r="H59" s="2">
        <v>7.72</v>
      </c>
      <c r="N59" s="214"/>
      <c r="O59" s="214"/>
    </row>
    <row r="60" spans="1:15" ht="12.75" hidden="1" customHeight="1" outlineLevel="1" x14ac:dyDescent="0.2">
      <c r="B60" s="8">
        <v>13000000</v>
      </c>
      <c r="C60" s="2">
        <v>6.13</v>
      </c>
      <c r="G60" s="8">
        <v>13000000</v>
      </c>
      <c r="H60" s="2">
        <v>7.63</v>
      </c>
      <c r="N60" s="214"/>
      <c r="O60" s="214"/>
    </row>
    <row r="61" spans="1:15" ht="12.75" hidden="1" customHeight="1" outlineLevel="1" x14ac:dyDescent="0.2">
      <c r="B61" s="8">
        <v>14000000</v>
      </c>
      <c r="C61" s="2">
        <v>6.07</v>
      </c>
      <c r="G61" s="8">
        <v>14000000</v>
      </c>
      <c r="H61" s="2">
        <v>7.55</v>
      </c>
      <c r="N61" s="214"/>
      <c r="O61" s="214"/>
    </row>
    <row r="62" spans="1:15" ht="13.5" hidden="1" customHeight="1" outlineLevel="1" thickBot="1" x14ac:dyDescent="0.25">
      <c r="B62" s="3">
        <v>15000000</v>
      </c>
      <c r="C62" s="9">
        <v>6.01</v>
      </c>
      <c r="G62" s="3">
        <v>15000000</v>
      </c>
      <c r="H62" s="9">
        <v>7.48</v>
      </c>
      <c r="N62" s="214"/>
      <c r="O62" s="214"/>
    </row>
    <row r="63" spans="1:15" ht="80.099999999999994" customHeight="1" collapsed="1" x14ac:dyDescent="0.2">
      <c r="B63" s="496" t="s">
        <v>151</v>
      </c>
      <c r="C63" s="496"/>
      <c r="D63" s="496"/>
      <c r="E63" s="496"/>
      <c r="F63" s="496"/>
      <c r="G63" s="496"/>
      <c r="H63" s="496"/>
      <c r="N63" s="214"/>
      <c r="O63" s="214"/>
    </row>
    <row r="64" spans="1:15" ht="13.5" customHeight="1" thickBot="1" x14ac:dyDescent="0.25">
      <c r="B64" s="13"/>
      <c r="G64" s="13"/>
      <c r="N64" s="214"/>
      <c r="O64" s="214"/>
    </row>
    <row r="65" spans="2:15" ht="13.5" customHeight="1" thickBot="1" x14ac:dyDescent="0.25">
      <c r="B65" s="495" t="s">
        <v>280</v>
      </c>
      <c r="C65" s="495"/>
      <c r="D65" s="495"/>
      <c r="E65" s="495"/>
      <c r="F65" s="495"/>
      <c r="G65" s="495"/>
      <c r="H65" s="495"/>
      <c r="J65" s="10" t="s">
        <v>12</v>
      </c>
      <c r="K65" s="11">
        <f>K9+K20</f>
        <v>215243.05</v>
      </c>
      <c r="L65" s="12">
        <f>L9+L10+L20+L11</f>
        <v>9.0819852320675096</v>
      </c>
      <c r="M65" s="388"/>
      <c r="N65" s="263">
        <f>L65*O75</f>
        <v>8.858199148320467E-2</v>
      </c>
      <c r="O65" s="214"/>
    </row>
    <row r="66" spans="2:15" ht="13.5" customHeight="1" x14ac:dyDescent="0.2">
      <c r="B66" s="495"/>
      <c r="C66" s="495"/>
      <c r="D66" s="495"/>
      <c r="E66" s="495"/>
      <c r="F66" s="495"/>
      <c r="G66" s="495"/>
      <c r="H66" s="495"/>
      <c r="J66" t="s">
        <v>69</v>
      </c>
      <c r="K66" t="s">
        <v>23</v>
      </c>
      <c r="L66" t="s">
        <v>23</v>
      </c>
      <c r="N66" s="214"/>
      <c r="O66" s="214"/>
    </row>
    <row r="67" spans="2:15" ht="13.5" customHeight="1" x14ac:dyDescent="0.2">
      <c r="B67" s="236"/>
      <c r="C67" s="236"/>
      <c r="D67" s="214"/>
      <c r="E67" s="214"/>
      <c r="F67" s="214"/>
      <c r="G67" s="214"/>
      <c r="H67" s="214"/>
      <c r="J67" t="s">
        <v>146</v>
      </c>
      <c r="K67" t="s">
        <v>23</v>
      </c>
      <c r="L67" t="s">
        <v>23</v>
      </c>
      <c r="N67" s="214"/>
      <c r="O67" s="214"/>
    </row>
    <row r="68" spans="2:15" ht="13.5" customHeight="1" x14ac:dyDescent="0.2">
      <c r="B68" s="516" t="s">
        <v>281</v>
      </c>
      <c r="C68" s="516"/>
      <c r="D68" s="516"/>
      <c r="E68" s="516"/>
      <c r="F68" s="516"/>
      <c r="G68" s="516"/>
      <c r="H68" s="516"/>
      <c r="J68" t="s">
        <v>13</v>
      </c>
      <c r="K68" s="13">
        <f>C9*L68%</f>
        <v>7110</v>
      </c>
      <c r="L68" s="341">
        <v>0.3</v>
      </c>
      <c r="M68" s="341"/>
      <c r="N68" s="263">
        <f>L68*O75</f>
        <v>2.9260780287474332E-3</v>
      </c>
      <c r="O68" s="214"/>
    </row>
    <row r="69" spans="2:15" ht="13.5" customHeight="1" x14ac:dyDescent="0.2">
      <c r="B69" s="516"/>
      <c r="C69" s="516"/>
      <c r="D69" s="516"/>
      <c r="E69" s="516"/>
      <c r="F69" s="516"/>
      <c r="G69" s="516"/>
      <c r="H69" s="516"/>
      <c r="J69" t="s">
        <v>73</v>
      </c>
      <c r="K69" s="13">
        <f>C9*L69%</f>
        <v>7110</v>
      </c>
      <c r="L69" s="341">
        <v>0.3</v>
      </c>
      <c r="M69" s="341"/>
      <c r="N69" s="263">
        <f>L69*O75</f>
        <v>2.9260780287474332E-3</v>
      </c>
      <c r="O69" s="214"/>
    </row>
    <row r="70" spans="2:15" ht="13.5" customHeight="1" x14ac:dyDescent="0.2">
      <c r="B70" s="214"/>
      <c r="C70" s="214"/>
      <c r="D70" s="214"/>
      <c r="E70" s="214"/>
      <c r="F70" s="214"/>
      <c r="G70" s="214"/>
      <c r="H70" s="214"/>
      <c r="J70" t="s">
        <v>147</v>
      </c>
      <c r="K70" s="13">
        <f>C9*L70%</f>
        <v>0</v>
      </c>
      <c r="L70" s="100">
        <v>0</v>
      </c>
      <c r="M70" s="100"/>
      <c r="N70" s="263">
        <f>L70*O75</f>
        <v>0</v>
      </c>
      <c r="O70" s="214"/>
    </row>
    <row r="71" spans="2:15" ht="13.5" customHeight="1" thickBot="1" x14ac:dyDescent="0.25">
      <c r="B71" s="516" t="s">
        <v>282</v>
      </c>
      <c r="C71" s="516"/>
      <c r="D71" s="516"/>
      <c r="E71" s="516"/>
      <c r="F71" s="516"/>
      <c r="G71" s="516"/>
      <c r="H71" s="516"/>
      <c r="J71" s="100" t="s">
        <v>205</v>
      </c>
      <c r="K71" s="13">
        <f>L71%*C9</f>
        <v>0</v>
      </c>
      <c r="L71" s="100">
        <v>0</v>
      </c>
      <c r="M71" s="100"/>
      <c r="N71" s="263">
        <f>L71*O75</f>
        <v>0</v>
      </c>
      <c r="O71" s="214"/>
    </row>
    <row r="72" spans="2:15" ht="24.95" customHeight="1" thickBot="1" x14ac:dyDescent="0.25">
      <c r="B72" s="516"/>
      <c r="C72" s="516"/>
      <c r="D72" s="516"/>
      <c r="E72" s="516"/>
      <c r="F72" s="516"/>
      <c r="G72" s="516"/>
      <c r="H72" s="516"/>
      <c r="J72" s="10" t="s">
        <v>3</v>
      </c>
      <c r="K72" s="11">
        <f>SUM(K65:K71)</f>
        <v>229463.05</v>
      </c>
      <c r="L72" s="15">
        <v>9.74</v>
      </c>
      <c r="M72" s="389"/>
      <c r="N72" s="266"/>
      <c r="O72" s="214"/>
    </row>
    <row r="73" spans="2:15" ht="13.5" thickBot="1" x14ac:dyDescent="0.25">
      <c r="B73" s="516"/>
      <c r="C73" s="516"/>
      <c r="D73" s="516"/>
      <c r="E73" s="516"/>
      <c r="F73" s="516"/>
      <c r="G73" s="516"/>
      <c r="H73" s="516"/>
      <c r="N73"/>
      <c r="O73"/>
    </row>
    <row r="74" spans="2:15" ht="13.5" customHeight="1" x14ac:dyDescent="0.2">
      <c r="B74" s="236"/>
      <c r="C74" s="236"/>
      <c r="D74" s="236"/>
      <c r="E74" s="236"/>
      <c r="F74" s="236"/>
      <c r="G74" s="236"/>
      <c r="H74" s="236"/>
      <c r="J74" s="16" t="s">
        <v>14</v>
      </c>
      <c r="K74" s="17"/>
      <c r="L74" s="338">
        <f>ROUND(L72/0.5,0)/100*0.5</f>
        <v>9.5000000000000001E-2</v>
      </c>
      <c r="M74" s="431" t="s">
        <v>292</v>
      </c>
      <c r="N74" s="503" t="s">
        <v>150</v>
      </c>
      <c r="O74" s="503"/>
    </row>
    <row r="75" spans="2:15" ht="13.5" customHeight="1" thickBot="1" x14ac:dyDescent="0.25">
      <c r="B75" s="516" t="s">
        <v>283</v>
      </c>
      <c r="C75" s="516"/>
      <c r="D75" s="516"/>
      <c r="E75" s="516"/>
      <c r="F75" s="516"/>
      <c r="G75" s="516"/>
      <c r="H75" s="516"/>
      <c r="J75" s="18" t="s">
        <v>15</v>
      </c>
      <c r="K75" s="19"/>
      <c r="L75" s="339">
        <f>C9*L74</f>
        <v>225150</v>
      </c>
      <c r="M75" s="381"/>
      <c r="N75"/>
      <c r="O75" s="214">
        <f>L74/L72</f>
        <v>9.7535934291581115E-3</v>
      </c>
    </row>
    <row r="76" spans="2:15" ht="13.5" customHeight="1" x14ac:dyDescent="0.2">
      <c r="B76" s="516"/>
      <c r="C76" s="516"/>
      <c r="D76" s="516"/>
      <c r="E76" s="516"/>
      <c r="F76" s="516"/>
      <c r="G76" s="516"/>
      <c r="H76" s="516"/>
    </row>
    <row r="77" spans="2:15" ht="13.5" customHeight="1" x14ac:dyDescent="0.2">
      <c r="B77" s="236"/>
      <c r="C77" s="236"/>
      <c r="D77" s="214"/>
      <c r="E77" s="214"/>
      <c r="F77" s="214"/>
      <c r="G77" s="214"/>
      <c r="H77" s="214"/>
    </row>
    <row r="78" spans="2:15" ht="13.5" customHeight="1" x14ac:dyDescent="0.2">
      <c r="B78" s="516" t="s">
        <v>265</v>
      </c>
      <c r="C78" s="516"/>
      <c r="D78" s="516"/>
      <c r="E78" s="516"/>
      <c r="F78" s="516"/>
      <c r="G78" s="516"/>
      <c r="H78" s="516"/>
    </row>
    <row r="79" spans="2:15" ht="13.5" customHeight="1" x14ac:dyDescent="0.2">
      <c r="B79" s="516"/>
      <c r="C79" s="516"/>
      <c r="D79" s="516"/>
      <c r="E79" s="516"/>
      <c r="F79" s="516"/>
      <c r="G79" s="516"/>
      <c r="H79" s="516"/>
    </row>
    <row r="80" spans="2:15" x14ac:dyDescent="0.2">
      <c r="B80" s="516"/>
      <c r="C80" s="516"/>
      <c r="D80" s="516"/>
      <c r="E80" s="516"/>
      <c r="F80" s="516"/>
      <c r="G80" s="516"/>
      <c r="H80" s="516"/>
    </row>
    <row r="82" spans="2:2" x14ac:dyDescent="0.2">
      <c r="B82" s="430" t="s">
        <v>291</v>
      </c>
    </row>
  </sheetData>
  <sheetProtection selectLockedCells="1" selectUnlockedCells="1"/>
  <mergeCells count="27">
    <mergeCell ref="O20:O21"/>
    <mergeCell ref="I20:I21"/>
    <mergeCell ref="J20:J21"/>
    <mergeCell ref="K20:K21"/>
    <mergeCell ref="L20:L21"/>
    <mergeCell ref="N20:N21"/>
    <mergeCell ref="N74:O74"/>
    <mergeCell ref="B78:H80"/>
    <mergeCell ref="B68:H69"/>
    <mergeCell ref="B71:H73"/>
    <mergeCell ref="B75:H76"/>
    <mergeCell ref="B65:H66"/>
    <mergeCell ref="B63:H63"/>
    <mergeCell ref="B3:L3"/>
    <mergeCell ref="B4:L4"/>
    <mergeCell ref="N6:O6"/>
    <mergeCell ref="B7:C7"/>
    <mergeCell ref="B18:E18"/>
    <mergeCell ref="G18:J18"/>
    <mergeCell ref="K18:L18"/>
    <mergeCell ref="B8:C8"/>
    <mergeCell ref="B6:J6"/>
    <mergeCell ref="K6:L7"/>
    <mergeCell ref="B20:B21"/>
    <mergeCell ref="D20:D21"/>
    <mergeCell ref="E20:E21"/>
    <mergeCell ref="G20:G21"/>
  </mergeCells>
  <pageMargins left="0.23622047244094491" right="0.19685039370078741" top="0.74803149606299213" bottom="0.74803149606299213" header="0.31496062992125984" footer="0.31496062992125984"/>
  <pageSetup paperSize="9" firstPageNumber="0" orientation="landscape" cellComments="asDisplayed"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81"/>
  <sheetViews>
    <sheetView zoomScale="80" zoomScaleNormal="80" workbookViewId="0">
      <selection activeCell="F48" sqref="F48"/>
    </sheetView>
  </sheetViews>
  <sheetFormatPr baseColWidth="10" defaultColWidth="14.85546875" defaultRowHeight="12.75" outlineLevelRow="1" x14ac:dyDescent="0.2"/>
  <cols>
    <col min="1" max="1" width="2.42578125" customWidth="1"/>
    <col min="2" max="7" width="14.7109375" customWidth="1"/>
    <col min="8" max="8" width="22.42578125" customWidth="1"/>
    <col min="9" max="9" width="14.7109375" customWidth="1"/>
    <col min="10" max="10" width="20.7109375" customWidth="1"/>
    <col min="11" max="12" width="14.7109375" customWidth="1"/>
    <col min="13" max="13" width="3.5703125" customWidth="1"/>
    <col min="14" max="15" width="22.7109375" customWidth="1"/>
  </cols>
  <sheetData>
    <row r="1" spans="1:15" ht="15" x14ac:dyDescent="0.2">
      <c r="B1" s="80" t="str">
        <f>'Budget global'!B1</f>
        <v>VILLE_Projet de xxxxxxxxxxxxxxxxxxxxxxxxxxxxxxxxxxxxxx</v>
      </c>
      <c r="K1" s="36" t="s">
        <v>90</v>
      </c>
      <c r="L1" s="82" t="str">
        <f>'Budget global'!D1</f>
        <v>XX-XX-XXXX</v>
      </c>
      <c r="M1" s="82"/>
    </row>
    <row r="2" spans="1:15" ht="15" customHeight="1" thickBot="1" x14ac:dyDescent="0.25">
      <c r="B2" s="35"/>
      <c r="C2" s="95"/>
      <c r="D2" s="96"/>
    </row>
    <row r="3" spans="1:15" s="244" customFormat="1" ht="20.100000000000001" customHeight="1" thickBot="1" x14ac:dyDescent="0.25">
      <c r="B3" s="497" t="s">
        <v>119</v>
      </c>
      <c r="C3" s="498"/>
      <c r="D3" s="498"/>
      <c r="E3" s="498"/>
      <c r="F3" s="498"/>
      <c r="G3" s="498"/>
      <c r="H3" s="498"/>
      <c r="I3" s="498"/>
      <c r="J3" s="498"/>
      <c r="K3" s="498"/>
      <c r="L3" s="499"/>
      <c r="M3" s="382"/>
    </row>
    <row r="4" spans="1:15" s="215" customFormat="1" ht="20.100000000000001" customHeight="1" thickBot="1" x14ac:dyDescent="0.25">
      <c r="B4" s="500" t="s">
        <v>152</v>
      </c>
      <c r="C4" s="501"/>
      <c r="D4" s="501"/>
      <c r="E4" s="501"/>
      <c r="F4" s="501"/>
      <c r="G4" s="501"/>
      <c r="H4" s="501"/>
      <c r="I4" s="501"/>
      <c r="J4" s="501"/>
      <c r="K4" s="501"/>
      <c r="L4" s="502"/>
      <c r="M4" s="383"/>
    </row>
    <row r="5" spans="1:15" s="214" customFormat="1" ht="13.5" thickBot="1" x14ac:dyDescent="0.25">
      <c r="B5" s="245"/>
      <c r="C5" s="245"/>
      <c r="D5" s="245"/>
      <c r="E5" s="245"/>
      <c r="F5" s="245"/>
      <c r="G5" s="245"/>
      <c r="H5" s="245"/>
      <c r="I5" s="245"/>
      <c r="J5" s="245"/>
      <c r="K5" s="245"/>
      <c r="N5" s="100"/>
    </row>
    <row r="6" spans="1:15" s="214" customFormat="1" ht="12.75" customHeight="1" thickBot="1" x14ac:dyDescent="0.25">
      <c r="A6" s="244"/>
      <c r="B6" s="508" t="s">
        <v>0</v>
      </c>
      <c r="C6" s="508"/>
      <c r="D6" s="508"/>
      <c r="E6" s="508"/>
      <c r="F6" s="508"/>
      <c r="G6" s="508"/>
      <c r="H6" s="508"/>
      <c r="I6" s="508"/>
      <c r="J6" s="508"/>
      <c r="K6" s="509" t="s">
        <v>46</v>
      </c>
      <c r="L6" s="509"/>
      <c r="M6" s="384"/>
      <c r="N6" s="503" t="s">
        <v>149</v>
      </c>
      <c r="O6" s="503"/>
    </row>
    <row r="7" spans="1:15" s="214" customFormat="1" ht="26.25" thickBot="1" x14ac:dyDescent="0.25">
      <c r="B7" s="504" t="s">
        <v>1</v>
      </c>
      <c r="C7" s="504"/>
      <c r="D7" s="247" t="s">
        <v>125</v>
      </c>
      <c r="E7" s="247" t="s">
        <v>126</v>
      </c>
      <c r="F7" s="247" t="s">
        <v>127</v>
      </c>
      <c r="G7" s="248" t="s">
        <v>128</v>
      </c>
      <c r="H7" s="247" t="s">
        <v>129</v>
      </c>
      <c r="I7" s="249" t="s">
        <v>2</v>
      </c>
      <c r="J7" s="250" t="s">
        <v>3</v>
      </c>
      <c r="K7" s="509"/>
      <c r="L7" s="509"/>
      <c r="M7" s="385"/>
    </row>
    <row r="8" spans="1:15" s="214" customFormat="1" ht="12.75" customHeight="1" thickBot="1" x14ac:dyDescent="0.25">
      <c r="B8" s="507" t="s">
        <v>4</v>
      </c>
      <c r="C8" s="507"/>
      <c r="D8" s="251">
        <v>7.0000000000000007E-2</v>
      </c>
      <c r="E8" s="252">
        <v>6.5000000000000002E-2</v>
      </c>
      <c r="F8" s="253">
        <v>0.06</v>
      </c>
      <c r="G8" s="252">
        <v>5.5E-2</v>
      </c>
      <c r="H8" s="252">
        <v>5.2499999999999998E-2</v>
      </c>
      <c r="I8" s="253">
        <v>0.05</v>
      </c>
      <c r="J8" s="254"/>
      <c r="K8" s="268" t="s">
        <v>47</v>
      </c>
      <c r="L8" s="256" t="s">
        <v>5</v>
      </c>
      <c r="M8" s="386"/>
    </row>
    <row r="9" spans="1:15" s="214" customFormat="1" ht="13.5" thickBot="1" x14ac:dyDescent="0.25">
      <c r="A9" s="246"/>
      <c r="B9" s="257" t="s">
        <v>6</v>
      </c>
      <c r="C9" s="267">
        <f>'Budget global'!G68</f>
        <v>2370000</v>
      </c>
      <c r="D9" s="258">
        <f>IF($C9&gt;$B$12,$B$12*$D$8,$C9*$D$8)</f>
        <v>15400.000000000002</v>
      </c>
      <c r="E9" s="259">
        <f>IF($C9&gt;$B$13,($B$13-$B$12)*$E$8,IF($C9&gt;$B$12,($C9-$B$12)*$E$8,0))</f>
        <v>34450</v>
      </c>
      <c r="F9" s="259">
        <f>IF($C9&gt;$B$14,($B$14-$B$13)*$F$8,IF($C9&gt;$B$13,($C9-$B$13)*$F$8,0))</f>
        <v>69000</v>
      </c>
      <c r="G9" s="259">
        <f>IF($C9&gt;$B$15,($B$15-$B$14)*$G$8,IF($C9&gt;$B$14,($C9-$B$14)*$G$8,0))</f>
        <v>25850</v>
      </c>
      <c r="H9" s="259">
        <f>IF($C9&gt;$B$16,($B$16-$B$15)*$H$8,IF($C9&gt;$B$15,($C9-$B$15)*$H$8,0))</f>
        <v>0</v>
      </c>
      <c r="I9" s="259">
        <f>IF($C9&gt;$B$16,($C9-$B$16)*$I$8,0)</f>
        <v>0</v>
      </c>
      <c r="J9" s="260">
        <f>SUM(D9:I9)</f>
        <v>144700</v>
      </c>
      <c r="K9" s="269">
        <f>(C9*L9)/100</f>
        <v>144700</v>
      </c>
      <c r="L9" s="262">
        <f>(J9/C9)*100</f>
        <v>6.1054852320675108</v>
      </c>
      <c r="M9" s="264"/>
      <c r="N9" s="263">
        <f>L9*O75</f>
        <v>6.2306246107877994E-2</v>
      </c>
    </row>
    <row r="10" spans="1:15" s="214" customFormat="1" x14ac:dyDescent="0.2">
      <c r="A10" s="238"/>
      <c r="C10" s="214" t="s">
        <v>145</v>
      </c>
      <c r="J10" s="100" t="s">
        <v>203</v>
      </c>
      <c r="K10" s="340">
        <v>0</v>
      </c>
      <c r="L10" s="341">
        <f>K10/C9*100</f>
        <v>0</v>
      </c>
      <c r="M10" s="341"/>
      <c r="N10" s="263">
        <f>L10*O75</f>
        <v>0</v>
      </c>
    </row>
    <row r="11" spans="1:15" s="214" customFormat="1" x14ac:dyDescent="0.2">
      <c r="A11" s="238"/>
      <c r="J11" s="319" t="s">
        <v>204</v>
      </c>
      <c r="K11" s="340">
        <v>0</v>
      </c>
      <c r="L11" s="341">
        <v>0</v>
      </c>
      <c r="M11" s="341"/>
      <c r="N11" s="263">
        <f>L11*O75</f>
        <v>0</v>
      </c>
    </row>
    <row r="12" spans="1:15" s="214" customFormat="1" hidden="1" outlineLevel="1" x14ac:dyDescent="0.2">
      <c r="A12" s="238"/>
      <c r="B12" s="214">
        <v>220000</v>
      </c>
      <c r="C12" s="264"/>
      <c r="F12" s="264"/>
      <c r="G12" s="264"/>
    </row>
    <row r="13" spans="1:15" s="214" customFormat="1" hidden="1" outlineLevel="1" x14ac:dyDescent="0.2">
      <c r="A13" s="238"/>
      <c r="B13" s="214">
        <v>750000</v>
      </c>
    </row>
    <row r="14" spans="1:15" s="214" customFormat="1" hidden="1" outlineLevel="1" x14ac:dyDescent="0.2">
      <c r="A14" s="238"/>
      <c r="B14" s="214">
        <v>1900000</v>
      </c>
    </row>
    <row r="15" spans="1:15" s="214" customFormat="1" hidden="1" outlineLevel="1" x14ac:dyDescent="0.2">
      <c r="A15" s="238"/>
      <c r="B15" s="214">
        <v>7500000</v>
      </c>
    </row>
    <row r="16" spans="1:15" s="214" customFormat="1" hidden="1" outlineLevel="1" x14ac:dyDescent="0.2">
      <c r="A16" s="238"/>
      <c r="B16" s="214">
        <v>22600000</v>
      </c>
    </row>
    <row r="17" spans="1:15" ht="13.5" collapsed="1" thickBot="1" x14ac:dyDescent="0.25">
      <c r="A17" s="1"/>
      <c r="N17" s="214"/>
      <c r="O17" s="214"/>
    </row>
    <row r="18" spans="1:15" ht="13.5" thickBot="1" x14ac:dyDescent="0.25">
      <c r="A18" s="1"/>
      <c r="B18" s="505" t="s">
        <v>70</v>
      </c>
      <c r="C18" s="505"/>
      <c r="D18" s="505"/>
      <c r="E18" s="505"/>
      <c r="G18" s="505" t="s">
        <v>71</v>
      </c>
      <c r="H18" s="505"/>
      <c r="I18" s="505"/>
      <c r="J18" s="505"/>
      <c r="K18" s="506" t="s">
        <v>3</v>
      </c>
      <c r="L18" s="506"/>
      <c r="M18" s="387"/>
      <c r="N18" s="214"/>
      <c r="O18" s="214"/>
    </row>
    <row r="19" spans="1:15" ht="26.25" thickBot="1" x14ac:dyDescent="0.25">
      <c r="A19" s="1"/>
      <c r="B19" s="31" t="s">
        <v>50</v>
      </c>
      <c r="C19" s="31" t="s">
        <v>279</v>
      </c>
      <c r="D19" s="31" t="s">
        <v>8</v>
      </c>
      <c r="E19" s="59" t="s">
        <v>9</v>
      </c>
      <c r="G19" s="31" t="s">
        <v>7</v>
      </c>
      <c r="H19" s="59" t="s">
        <v>279</v>
      </c>
      <c r="I19" s="59" t="s">
        <v>8</v>
      </c>
      <c r="J19" s="59" t="s">
        <v>9</v>
      </c>
      <c r="K19" s="1"/>
      <c r="L19" s="2"/>
      <c r="N19" s="265" t="s">
        <v>21</v>
      </c>
      <c r="O19" s="265" t="s">
        <v>22</v>
      </c>
    </row>
    <row r="20" spans="1:15" ht="13.5" thickBot="1" x14ac:dyDescent="0.25">
      <c r="A20" s="1"/>
      <c r="B20" s="510">
        <f>C9</f>
        <v>2370000</v>
      </c>
      <c r="C20" s="425">
        <v>0.15</v>
      </c>
      <c r="D20" s="512">
        <f>VLOOKUP(C21,B24:C62,2,TRUE)</f>
        <v>13.59</v>
      </c>
      <c r="E20" s="522">
        <f>(C21*D20)/100</f>
        <v>48312.45</v>
      </c>
      <c r="G20" s="510">
        <f>C9</f>
        <v>2370000</v>
      </c>
      <c r="H20" s="425">
        <v>0.25</v>
      </c>
      <c r="I20" s="512">
        <f>VLOOKUP(H21,G24:H62,2,TRUE)</f>
        <v>12.06</v>
      </c>
      <c r="J20" s="522">
        <f>(H21*I20)/100</f>
        <v>71455.5</v>
      </c>
      <c r="K20" s="518">
        <f>J20+E20</f>
        <v>119767.95</v>
      </c>
      <c r="L20" s="524">
        <f>(K20/C9)*100</f>
        <v>5.0534999999999997</v>
      </c>
      <c r="M20" s="14"/>
      <c r="N20" s="263">
        <f>D22*O75*100</f>
        <v>2.0802815478746028E-2</v>
      </c>
      <c r="O20" s="263">
        <f>I22*O75*100</f>
        <v>3.0767961083355052E-2</v>
      </c>
    </row>
    <row r="21" spans="1:15" ht="13.5" thickBot="1" x14ac:dyDescent="0.25">
      <c r="A21" s="1"/>
      <c r="B21" s="511"/>
      <c r="C21" s="3">
        <f>B20*C20</f>
        <v>355500</v>
      </c>
      <c r="D21" s="513"/>
      <c r="E21" s="523"/>
      <c r="G21" s="511"/>
      <c r="H21" s="3">
        <f>G20*H20</f>
        <v>592500</v>
      </c>
      <c r="I21" s="513"/>
      <c r="J21" s="523"/>
      <c r="K21" s="519"/>
      <c r="L21" s="525"/>
      <c r="M21" s="14"/>
      <c r="N21" s="263"/>
      <c r="O21" s="263"/>
    </row>
    <row r="22" spans="1:15" x14ac:dyDescent="0.2">
      <c r="A22" s="1"/>
      <c r="B22" s="26"/>
      <c r="C22" s="13" t="s">
        <v>20</v>
      </c>
      <c r="D22" s="28">
        <f>E20/C9</f>
        <v>2.0385E-2</v>
      </c>
      <c r="E22" s="13"/>
      <c r="G22" s="26"/>
      <c r="H22" s="13" t="s">
        <v>20</v>
      </c>
      <c r="I22" s="28">
        <f>J20/C9</f>
        <v>3.015E-2</v>
      </c>
      <c r="J22" s="13"/>
      <c r="K22" s="27"/>
      <c r="L22" s="14"/>
      <c r="M22" s="14"/>
      <c r="N22" s="214"/>
      <c r="O22" s="214"/>
    </row>
    <row r="23" spans="1:15" x14ac:dyDescent="0.2">
      <c r="A23" s="1"/>
      <c r="N23" s="214"/>
      <c r="O23" s="214"/>
    </row>
    <row r="24" spans="1:15" ht="13.5" hidden="1" outlineLevel="1" thickBot="1" x14ac:dyDescent="0.25">
      <c r="A24" s="1"/>
      <c r="B24" s="5" t="s">
        <v>10</v>
      </c>
      <c r="C24" s="6" t="s">
        <v>16</v>
      </c>
      <c r="G24" s="5" t="s">
        <v>10</v>
      </c>
      <c r="H24" s="6" t="s">
        <v>11</v>
      </c>
      <c r="N24" s="214"/>
      <c r="O24" s="214"/>
    </row>
    <row r="25" spans="1:15" hidden="1" outlineLevel="1" x14ac:dyDescent="0.2">
      <c r="A25" s="1"/>
      <c r="B25" s="29">
        <v>0</v>
      </c>
      <c r="C25" s="2">
        <v>16.21</v>
      </c>
      <c r="G25" s="30">
        <v>0</v>
      </c>
      <c r="H25" s="2">
        <v>15.13</v>
      </c>
      <c r="N25" s="214"/>
      <c r="O25" s="214"/>
    </row>
    <row r="26" spans="1:15" hidden="1" outlineLevel="1" x14ac:dyDescent="0.2">
      <c r="A26" s="1"/>
      <c r="B26" s="7">
        <v>100000</v>
      </c>
      <c r="C26" s="2">
        <v>16.21</v>
      </c>
      <c r="G26" s="8">
        <v>100000</v>
      </c>
      <c r="H26" s="2">
        <v>15.13</v>
      </c>
      <c r="N26" s="214"/>
      <c r="O26" s="214"/>
    </row>
    <row r="27" spans="1:15" hidden="1" outlineLevel="1" x14ac:dyDescent="0.2">
      <c r="A27" s="1"/>
      <c r="B27" s="8">
        <v>125000</v>
      </c>
      <c r="C27" s="2">
        <v>15.71</v>
      </c>
      <c r="G27" s="8">
        <v>125000</v>
      </c>
      <c r="H27" s="2">
        <v>14.66</v>
      </c>
      <c r="N27" s="214"/>
      <c r="O27" s="214"/>
    </row>
    <row r="28" spans="1:15" hidden="1" outlineLevel="1" x14ac:dyDescent="0.2">
      <c r="A28" s="1"/>
      <c r="B28" s="8">
        <v>150000</v>
      </c>
      <c r="C28" s="2">
        <v>15.31</v>
      </c>
      <c r="G28" s="8">
        <v>150000</v>
      </c>
      <c r="H28" s="2">
        <v>14.29</v>
      </c>
      <c r="N28" s="214"/>
      <c r="O28" s="214"/>
    </row>
    <row r="29" spans="1:15" hidden="1" outlineLevel="1" x14ac:dyDescent="0.2">
      <c r="A29" s="1"/>
      <c r="B29" s="8">
        <v>175000</v>
      </c>
      <c r="C29" s="2">
        <v>14.98</v>
      </c>
      <c r="G29" s="8">
        <v>175000</v>
      </c>
      <c r="H29" s="2">
        <v>13.98</v>
      </c>
      <c r="N29" s="214"/>
      <c r="O29" s="214"/>
    </row>
    <row r="30" spans="1:15" hidden="1" outlineLevel="1" x14ac:dyDescent="0.2">
      <c r="A30" s="1"/>
      <c r="B30" s="8">
        <v>200000</v>
      </c>
      <c r="C30" s="2">
        <v>14.7</v>
      </c>
      <c r="G30" s="8">
        <v>200000</v>
      </c>
      <c r="H30" s="2">
        <v>13.72</v>
      </c>
      <c r="N30" s="214"/>
      <c r="O30" s="214"/>
    </row>
    <row r="31" spans="1:15" hidden="1" outlineLevel="1" x14ac:dyDescent="0.2">
      <c r="A31" s="1"/>
      <c r="B31" s="8">
        <v>225000</v>
      </c>
      <c r="C31" s="2">
        <v>14.46</v>
      </c>
      <c r="G31" s="8">
        <v>225000</v>
      </c>
      <c r="H31" s="2">
        <v>13.5</v>
      </c>
      <c r="N31" s="214"/>
      <c r="O31" s="214"/>
    </row>
    <row r="32" spans="1:15" hidden="1" outlineLevel="1" x14ac:dyDescent="0.2">
      <c r="A32" s="1"/>
      <c r="B32" s="8">
        <v>250000</v>
      </c>
      <c r="C32" s="2">
        <v>14.25</v>
      </c>
      <c r="G32" s="8">
        <v>250000</v>
      </c>
      <c r="H32" s="2">
        <v>13.3</v>
      </c>
      <c r="N32" s="214"/>
      <c r="O32" s="214"/>
    </row>
    <row r="33" spans="1:15" hidden="1" outlineLevel="1" x14ac:dyDescent="0.2">
      <c r="A33" s="1"/>
      <c r="B33" s="8">
        <v>300000</v>
      </c>
      <c r="C33" s="2">
        <v>13.89</v>
      </c>
      <c r="G33" s="8">
        <v>300000</v>
      </c>
      <c r="H33" s="2">
        <v>12.96</v>
      </c>
      <c r="N33" s="214"/>
      <c r="O33" s="214"/>
    </row>
    <row r="34" spans="1:15" hidden="1" outlineLevel="1" x14ac:dyDescent="0.2">
      <c r="A34" s="1"/>
      <c r="B34" s="8">
        <v>350000</v>
      </c>
      <c r="C34" s="2">
        <v>13.59</v>
      </c>
      <c r="G34" s="8">
        <v>350000</v>
      </c>
      <c r="H34" s="2">
        <v>12.68</v>
      </c>
      <c r="N34" s="214"/>
      <c r="O34" s="214"/>
    </row>
    <row r="35" spans="1:15" hidden="1" outlineLevel="1" x14ac:dyDescent="0.2">
      <c r="A35" s="1"/>
      <c r="B35" s="8">
        <v>400000</v>
      </c>
      <c r="C35" s="2">
        <v>13.34</v>
      </c>
      <c r="G35" s="8">
        <v>400000</v>
      </c>
      <c r="H35" s="2">
        <v>12.45</v>
      </c>
      <c r="N35" s="214"/>
      <c r="O35" s="214"/>
    </row>
    <row r="36" spans="1:15" hidden="1" outlineLevel="1" x14ac:dyDescent="0.2">
      <c r="A36" s="1"/>
      <c r="B36" s="8">
        <v>450000</v>
      </c>
      <c r="C36" s="2">
        <v>13.12</v>
      </c>
      <c r="G36" s="8">
        <v>450000</v>
      </c>
      <c r="H36" s="2">
        <v>12.24</v>
      </c>
      <c r="N36" s="214"/>
      <c r="O36" s="214"/>
    </row>
    <row r="37" spans="1:15" hidden="1" outlineLevel="1" x14ac:dyDescent="0.2">
      <c r="A37" s="1"/>
      <c r="B37" s="8">
        <v>500000</v>
      </c>
      <c r="C37" s="2">
        <v>12.92</v>
      </c>
      <c r="G37" s="8">
        <v>500000</v>
      </c>
      <c r="H37" s="2">
        <v>12.06</v>
      </c>
      <c r="N37" s="214"/>
      <c r="O37" s="214"/>
    </row>
    <row r="38" spans="1:15" hidden="1" outlineLevel="1" x14ac:dyDescent="0.2">
      <c r="A38" s="1"/>
      <c r="B38" s="8">
        <v>600000</v>
      </c>
      <c r="C38" s="2">
        <v>12.6</v>
      </c>
      <c r="G38" s="8">
        <v>600000</v>
      </c>
      <c r="H38" s="2">
        <v>11.76</v>
      </c>
      <c r="N38" s="214"/>
      <c r="O38" s="214"/>
    </row>
    <row r="39" spans="1:15" hidden="1" outlineLevel="1" x14ac:dyDescent="0.2">
      <c r="A39" s="1"/>
      <c r="B39" s="8">
        <v>700000</v>
      </c>
      <c r="C39" s="2">
        <v>12.33</v>
      </c>
      <c r="G39" s="8">
        <v>700000</v>
      </c>
      <c r="H39" s="2">
        <v>11.51</v>
      </c>
      <c r="N39" s="214"/>
      <c r="O39" s="214"/>
    </row>
    <row r="40" spans="1:15" hidden="1" outlineLevel="1" x14ac:dyDescent="0.2">
      <c r="A40" s="1"/>
      <c r="B40" s="8">
        <v>800000</v>
      </c>
      <c r="C40" s="2">
        <v>12.1</v>
      </c>
      <c r="G40" s="8">
        <v>800000</v>
      </c>
      <c r="H40" s="2">
        <v>11.29</v>
      </c>
      <c r="N40" s="214"/>
      <c r="O40" s="214"/>
    </row>
    <row r="41" spans="1:15" hidden="1" outlineLevel="1" x14ac:dyDescent="0.2">
      <c r="A41" s="1"/>
      <c r="B41" s="8">
        <v>900000</v>
      </c>
      <c r="C41" s="2">
        <v>11.9</v>
      </c>
      <c r="G41" s="8">
        <v>900000</v>
      </c>
      <c r="H41" s="2">
        <v>11.11</v>
      </c>
      <c r="N41" s="214"/>
      <c r="O41" s="214"/>
    </row>
    <row r="42" spans="1:15" hidden="1" outlineLevel="1" x14ac:dyDescent="0.2">
      <c r="A42" s="1"/>
      <c r="B42" s="8">
        <v>1000000</v>
      </c>
      <c r="C42" s="2">
        <v>11.72</v>
      </c>
      <c r="G42" s="8">
        <v>1000000</v>
      </c>
      <c r="H42" s="2">
        <v>10.94</v>
      </c>
      <c r="N42" s="214"/>
      <c r="O42" s="214"/>
    </row>
    <row r="43" spans="1:15" hidden="1" outlineLevel="1" x14ac:dyDescent="0.2">
      <c r="A43" s="1"/>
      <c r="B43" s="8">
        <v>1250000</v>
      </c>
      <c r="C43" s="2">
        <v>11.36</v>
      </c>
      <c r="G43" s="8">
        <v>1250000</v>
      </c>
      <c r="H43" s="2">
        <v>10.6</v>
      </c>
      <c r="N43" s="214"/>
      <c r="O43" s="214"/>
    </row>
    <row r="44" spans="1:15" hidden="1" outlineLevel="1" x14ac:dyDescent="0.2">
      <c r="A44" s="1"/>
      <c r="B44" s="8">
        <v>1500000</v>
      </c>
      <c r="C44" s="2">
        <v>11.07</v>
      </c>
      <c r="G44" s="8">
        <v>1500000</v>
      </c>
      <c r="H44" s="2">
        <v>10.34</v>
      </c>
      <c r="N44" s="214"/>
      <c r="O44" s="214"/>
    </row>
    <row r="45" spans="1:15" hidden="1" outlineLevel="1" x14ac:dyDescent="0.2">
      <c r="A45" s="1"/>
      <c r="B45" s="8">
        <v>1750000</v>
      </c>
      <c r="C45" s="2">
        <v>10.84</v>
      </c>
      <c r="G45" s="8">
        <v>1750000</v>
      </c>
      <c r="H45" s="2">
        <v>10.11</v>
      </c>
      <c r="N45" s="214"/>
      <c r="O45" s="214"/>
    </row>
    <row r="46" spans="1:15" hidden="1" outlineLevel="1" x14ac:dyDescent="0.2">
      <c r="A46" s="1"/>
      <c r="B46" s="8">
        <v>2000000</v>
      </c>
      <c r="C46" s="2">
        <v>10.63</v>
      </c>
      <c r="G46" s="8">
        <v>2000000</v>
      </c>
      <c r="H46" s="2">
        <v>9.93</v>
      </c>
      <c r="N46" s="214"/>
      <c r="O46" s="214"/>
    </row>
    <row r="47" spans="1:15" hidden="1" outlineLevel="1" x14ac:dyDescent="0.2">
      <c r="A47" s="1"/>
      <c r="B47" s="8">
        <v>2250000</v>
      </c>
      <c r="C47" s="2">
        <v>10.46</v>
      </c>
      <c r="G47" s="8">
        <v>2250000</v>
      </c>
      <c r="H47" s="2">
        <v>9.76</v>
      </c>
      <c r="N47" s="214"/>
      <c r="O47" s="214"/>
    </row>
    <row r="48" spans="1:15" hidden="1" outlineLevel="1" x14ac:dyDescent="0.2">
      <c r="B48" s="8">
        <v>2500000</v>
      </c>
      <c r="C48" s="2">
        <v>10.31</v>
      </c>
      <c r="G48" s="8">
        <v>2500000</v>
      </c>
      <c r="H48" s="2">
        <v>9.6199999999999992</v>
      </c>
      <c r="N48" s="214"/>
      <c r="O48" s="214"/>
    </row>
    <row r="49" spans="1:16" hidden="1" outlineLevel="1" x14ac:dyDescent="0.2">
      <c r="B49" s="8">
        <v>3000000</v>
      </c>
      <c r="C49" s="2">
        <v>10.039999999999999</v>
      </c>
      <c r="G49" s="8">
        <v>3000000</v>
      </c>
      <c r="H49" s="2">
        <v>9.3800000000000008</v>
      </c>
      <c r="N49" s="214"/>
      <c r="O49" s="214"/>
    </row>
    <row r="50" spans="1:16" hidden="1" outlineLevel="1" x14ac:dyDescent="0.2">
      <c r="A50" s="48"/>
      <c r="B50" s="8">
        <v>3500000</v>
      </c>
      <c r="C50" s="2">
        <v>9.83</v>
      </c>
      <c r="G50" s="8">
        <v>3500000</v>
      </c>
      <c r="H50" s="2">
        <v>9.18</v>
      </c>
      <c r="N50" s="214"/>
      <c r="O50" s="214"/>
    </row>
    <row r="51" spans="1:16" hidden="1" outlineLevel="1" x14ac:dyDescent="0.2">
      <c r="B51" s="8">
        <v>4000000</v>
      </c>
      <c r="C51" s="2">
        <v>9.65</v>
      </c>
      <c r="G51" s="8">
        <v>4000000</v>
      </c>
      <c r="H51" s="2">
        <v>9</v>
      </c>
      <c r="N51" s="214"/>
      <c r="O51" s="214"/>
    </row>
    <row r="52" spans="1:16" hidden="1" outlineLevel="1" x14ac:dyDescent="0.2">
      <c r="B52" s="8">
        <v>5000000</v>
      </c>
      <c r="C52" s="2">
        <v>9.35</v>
      </c>
      <c r="G52" s="8">
        <v>5000000</v>
      </c>
      <c r="H52" s="2">
        <v>8.73</v>
      </c>
      <c r="N52" s="214"/>
      <c r="O52" s="214"/>
    </row>
    <row r="53" spans="1:16" hidden="1" outlineLevel="1" x14ac:dyDescent="0.2">
      <c r="B53" s="8">
        <v>6000000</v>
      </c>
      <c r="C53" s="2">
        <v>9.11</v>
      </c>
      <c r="G53" s="8">
        <v>6000000</v>
      </c>
      <c r="H53" s="2">
        <v>8.51</v>
      </c>
      <c r="N53" s="214"/>
      <c r="O53" s="214"/>
    </row>
    <row r="54" spans="1:16" hidden="1" outlineLevel="1" x14ac:dyDescent="0.2">
      <c r="B54" s="8">
        <v>7000000</v>
      </c>
      <c r="C54" s="2">
        <v>8.92</v>
      </c>
      <c r="G54" s="8">
        <v>7000000</v>
      </c>
      <c r="H54" s="2">
        <v>8.32</v>
      </c>
      <c r="N54" s="214"/>
      <c r="O54" s="214"/>
    </row>
    <row r="55" spans="1:16" hidden="1" outlineLevel="1" x14ac:dyDescent="0.2">
      <c r="B55" s="8">
        <v>8000000</v>
      </c>
      <c r="C55" s="2">
        <v>8.75</v>
      </c>
      <c r="G55" s="8">
        <v>8000000</v>
      </c>
      <c r="H55" s="2">
        <v>8.17</v>
      </c>
      <c r="N55" s="214"/>
      <c r="O55" s="214"/>
    </row>
    <row r="56" spans="1:16" hidden="1" outlineLevel="1" x14ac:dyDescent="0.2">
      <c r="B56" s="8">
        <v>9000000</v>
      </c>
      <c r="C56" s="2">
        <v>8.61</v>
      </c>
      <c r="G56" s="8">
        <v>9000000</v>
      </c>
      <c r="H56" s="2">
        <v>8.0299999999999994</v>
      </c>
      <c r="N56" s="214"/>
      <c r="O56" s="214"/>
    </row>
    <row r="57" spans="1:16" hidden="1" outlineLevel="1" x14ac:dyDescent="0.2">
      <c r="B57" s="8">
        <v>10000000</v>
      </c>
      <c r="C57" s="2">
        <v>8.48</v>
      </c>
      <c r="G57" s="8">
        <v>10000000</v>
      </c>
      <c r="H57" s="2">
        <v>7.92</v>
      </c>
      <c r="N57" s="214"/>
      <c r="O57" s="214"/>
    </row>
    <row r="58" spans="1:16" hidden="1" outlineLevel="1" x14ac:dyDescent="0.2">
      <c r="A58" s="49"/>
      <c r="B58" s="8">
        <v>11000000</v>
      </c>
      <c r="C58" s="2">
        <v>8.3699999999999992</v>
      </c>
      <c r="G58" s="8">
        <v>11000000</v>
      </c>
      <c r="H58" s="2">
        <v>7.81</v>
      </c>
      <c r="N58" s="214"/>
      <c r="O58" s="214"/>
    </row>
    <row r="59" spans="1:16" hidden="1" outlineLevel="1" x14ac:dyDescent="0.2">
      <c r="B59" s="8">
        <v>12000000</v>
      </c>
      <c r="C59" s="2">
        <v>8.26</v>
      </c>
      <c r="G59" s="8">
        <v>12000000</v>
      </c>
      <c r="H59" s="2">
        <v>7.72</v>
      </c>
      <c r="N59" s="214"/>
      <c r="O59" s="214"/>
    </row>
    <row r="60" spans="1:16" hidden="1" outlineLevel="1" x14ac:dyDescent="0.2">
      <c r="B60" s="8">
        <v>13000000</v>
      </c>
      <c r="C60" s="2">
        <v>8.17</v>
      </c>
      <c r="G60" s="8">
        <v>13000000</v>
      </c>
      <c r="H60" s="2">
        <v>7.63</v>
      </c>
      <c r="N60" s="214"/>
      <c r="O60" s="214"/>
    </row>
    <row r="61" spans="1:16" hidden="1" outlineLevel="1" x14ac:dyDescent="0.2">
      <c r="B61" s="8">
        <v>14000000</v>
      </c>
      <c r="C61" s="2">
        <v>8.09</v>
      </c>
      <c r="G61" s="8">
        <v>14000000</v>
      </c>
      <c r="H61" s="2">
        <v>7.55</v>
      </c>
      <c r="N61" s="214"/>
      <c r="O61" s="214"/>
    </row>
    <row r="62" spans="1:16" ht="13.5" hidden="1" outlineLevel="1" thickBot="1" x14ac:dyDescent="0.25">
      <c r="B62" s="3">
        <v>15000000</v>
      </c>
      <c r="C62" s="9">
        <v>8.01</v>
      </c>
      <c r="G62" s="3">
        <v>15000000</v>
      </c>
      <c r="H62" s="9">
        <v>7.48</v>
      </c>
      <c r="N62" s="214"/>
      <c r="O62" s="214"/>
    </row>
    <row r="63" spans="1:16" ht="80.099999999999994" customHeight="1" collapsed="1" x14ac:dyDescent="0.2">
      <c r="B63" s="496" t="s">
        <v>151</v>
      </c>
      <c r="C63" s="496"/>
      <c r="D63" s="496"/>
      <c r="E63" s="496"/>
      <c r="F63" s="496"/>
      <c r="G63" s="496"/>
      <c r="H63" s="496"/>
      <c r="N63" s="214"/>
      <c r="O63" s="214"/>
      <c r="P63" s="40"/>
    </row>
    <row r="64" spans="1:16" ht="13.5" thickBot="1" x14ac:dyDescent="0.25">
      <c r="B64" s="426"/>
      <c r="C64" s="214"/>
      <c r="D64" s="214"/>
      <c r="E64" s="214"/>
      <c r="F64" s="214"/>
      <c r="G64" s="426"/>
      <c r="H64" s="214"/>
      <c r="N64" s="214"/>
      <c r="O64" s="214"/>
    </row>
    <row r="65" spans="2:15" ht="13.5" customHeight="1" thickBot="1" x14ac:dyDescent="0.25">
      <c r="B65" s="495" t="s">
        <v>280</v>
      </c>
      <c r="C65" s="495"/>
      <c r="D65" s="495"/>
      <c r="E65" s="495"/>
      <c r="F65" s="495"/>
      <c r="G65" s="495"/>
      <c r="H65" s="495"/>
      <c r="J65" s="10" t="s">
        <v>12</v>
      </c>
      <c r="K65" s="11">
        <f>K9+K20</f>
        <v>264467.95</v>
      </c>
      <c r="L65" s="12">
        <f>L9+L20+L10+L11</f>
        <v>11.158985232067511</v>
      </c>
      <c r="M65" s="388"/>
      <c r="N65" s="263">
        <f>L65*O75</f>
        <v>0.11387702266997907</v>
      </c>
      <c r="O65" s="214"/>
    </row>
    <row r="66" spans="2:15" ht="13.5" customHeight="1" x14ac:dyDescent="0.2">
      <c r="B66" s="495"/>
      <c r="C66" s="495"/>
      <c r="D66" s="495"/>
      <c r="E66" s="495"/>
      <c r="F66" s="495"/>
      <c r="G66" s="495"/>
      <c r="H66" s="495"/>
      <c r="J66" t="s">
        <v>69</v>
      </c>
      <c r="K66" t="s">
        <v>23</v>
      </c>
      <c r="L66" t="s">
        <v>23</v>
      </c>
      <c r="N66" s="214"/>
      <c r="O66" s="214"/>
    </row>
    <row r="67" spans="2:15" ht="13.5" customHeight="1" x14ac:dyDescent="0.2">
      <c r="B67" s="427"/>
      <c r="C67" s="427"/>
      <c r="D67" s="427"/>
      <c r="E67" s="427"/>
      <c r="F67" s="214"/>
      <c r="G67" s="214"/>
      <c r="H67" s="214"/>
      <c r="J67" t="s">
        <v>146</v>
      </c>
      <c r="K67" t="s">
        <v>23</v>
      </c>
      <c r="L67" t="s">
        <v>23</v>
      </c>
      <c r="N67" s="263"/>
      <c r="O67" s="214"/>
    </row>
    <row r="68" spans="2:15" ht="13.5" customHeight="1" x14ac:dyDescent="0.2">
      <c r="B68" s="516" t="s">
        <v>281</v>
      </c>
      <c r="C68" s="516"/>
      <c r="D68" s="516"/>
      <c r="E68" s="516"/>
      <c r="F68" s="516"/>
      <c r="G68" s="516"/>
      <c r="H68" s="516"/>
      <c r="J68" t="s">
        <v>13</v>
      </c>
      <c r="K68" s="13">
        <f>C9*L68%</f>
        <v>7110</v>
      </c>
      <c r="L68" s="341">
        <v>0.3</v>
      </c>
      <c r="M68" s="341"/>
      <c r="N68" s="263">
        <f>L68*O75</f>
        <v>3.0614886650104528E-3</v>
      </c>
      <c r="O68" s="214"/>
    </row>
    <row r="69" spans="2:15" ht="13.5" customHeight="1" x14ac:dyDescent="0.2">
      <c r="B69" s="516"/>
      <c r="C69" s="516"/>
      <c r="D69" s="516"/>
      <c r="E69" s="516"/>
      <c r="F69" s="516"/>
      <c r="G69" s="516"/>
      <c r="H69" s="516"/>
      <c r="J69" t="s">
        <v>73</v>
      </c>
      <c r="K69" s="13">
        <f>C9*L69%</f>
        <v>7110</v>
      </c>
      <c r="L69" s="341">
        <v>0.3</v>
      </c>
      <c r="M69" s="341"/>
      <c r="N69" s="263">
        <f>L69*O75</f>
        <v>3.0614886650104528E-3</v>
      </c>
      <c r="O69" s="214"/>
    </row>
    <row r="70" spans="2:15" ht="13.5" customHeight="1" x14ac:dyDescent="0.2">
      <c r="B70" s="516"/>
      <c r="C70" s="516"/>
      <c r="D70" s="516"/>
      <c r="E70" s="516"/>
      <c r="F70" s="516"/>
      <c r="G70" s="516"/>
      <c r="H70" s="516"/>
      <c r="J70" t="s">
        <v>147</v>
      </c>
      <c r="K70" s="13">
        <f>C9*L70%</f>
        <v>0</v>
      </c>
      <c r="L70" s="100">
        <v>0</v>
      </c>
      <c r="M70" s="100"/>
      <c r="N70" s="263">
        <f>L70*O75</f>
        <v>0</v>
      </c>
      <c r="O70" s="214"/>
    </row>
    <row r="71" spans="2:15" ht="13.5" customHeight="1" thickBot="1" x14ac:dyDescent="0.25">
      <c r="B71" s="526" t="s">
        <v>284</v>
      </c>
      <c r="C71" s="526"/>
      <c r="D71" s="526"/>
      <c r="E71" s="526"/>
      <c r="F71" s="526"/>
      <c r="G71" s="526"/>
      <c r="H71" s="526"/>
      <c r="J71" s="100" t="s">
        <v>205</v>
      </c>
      <c r="K71" s="13">
        <f>L71%*C9</f>
        <v>0</v>
      </c>
      <c r="L71" s="100">
        <v>0</v>
      </c>
      <c r="M71" s="100"/>
      <c r="N71" s="263">
        <f>L71*O75</f>
        <v>0</v>
      </c>
      <c r="O71" s="214"/>
    </row>
    <row r="72" spans="2:15" ht="24.95" customHeight="1" thickBot="1" x14ac:dyDescent="0.25">
      <c r="B72" s="526"/>
      <c r="C72" s="526"/>
      <c r="D72" s="526"/>
      <c r="E72" s="526"/>
      <c r="F72" s="526"/>
      <c r="G72" s="526"/>
      <c r="H72" s="526"/>
      <c r="J72" s="61" t="s">
        <v>3</v>
      </c>
      <c r="K72" s="62">
        <f>SUM(K65:K71)</f>
        <v>278687.95</v>
      </c>
      <c r="L72" s="63">
        <f>SUM(L65:L71)</f>
        <v>11.758985232067513</v>
      </c>
      <c r="M72" s="389"/>
      <c r="N72" s="273"/>
      <c r="O72" s="214"/>
    </row>
    <row r="73" spans="2:15" ht="13.5" thickBot="1" x14ac:dyDescent="0.25">
      <c r="B73" s="526"/>
      <c r="C73" s="526"/>
      <c r="D73" s="526"/>
      <c r="E73" s="526"/>
      <c r="F73" s="526"/>
      <c r="G73" s="526"/>
      <c r="H73" s="526"/>
      <c r="N73" s="214"/>
      <c r="O73" s="214"/>
    </row>
    <row r="74" spans="2:15" ht="13.5" customHeight="1" x14ac:dyDescent="0.2">
      <c r="B74" s="337"/>
      <c r="C74" s="236"/>
      <c r="D74" s="236"/>
      <c r="E74" s="236"/>
      <c r="F74" s="236"/>
      <c r="G74" s="236"/>
      <c r="H74" s="236"/>
      <c r="J74" s="16" t="s">
        <v>14</v>
      </c>
      <c r="K74" s="17"/>
      <c r="L74" s="338">
        <f>ROUND(L72/0.5,0)/100*0.5</f>
        <v>0.12</v>
      </c>
      <c r="M74" s="431" t="s">
        <v>292</v>
      </c>
      <c r="N74" s="503" t="s">
        <v>150</v>
      </c>
      <c r="O74" s="503"/>
    </row>
    <row r="75" spans="2:15" ht="13.5" customHeight="1" thickBot="1" x14ac:dyDescent="0.25">
      <c r="B75" s="516" t="s">
        <v>285</v>
      </c>
      <c r="C75" s="516"/>
      <c r="D75" s="516"/>
      <c r="E75" s="516"/>
      <c r="F75" s="516"/>
      <c r="G75" s="516"/>
      <c r="H75" s="516"/>
      <c r="J75" s="18" t="s">
        <v>15</v>
      </c>
      <c r="K75" s="19"/>
      <c r="L75" s="339">
        <f>C9*L74</f>
        <v>284400</v>
      </c>
      <c r="M75" s="381"/>
      <c r="N75" s="214"/>
      <c r="O75" s="214">
        <f>L74/L72</f>
        <v>1.0204962216701509E-2</v>
      </c>
    </row>
    <row r="76" spans="2:15" ht="13.5" customHeight="1" x14ac:dyDescent="0.2">
      <c r="B76" s="516"/>
      <c r="C76" s="516"/>
      <c r="D76" s="516"/>
      <c r="E76" s="516"/>
      <c r="F76" s="516"/>
      <c r="G76" s="516"/>
      <c r="H76" s="516"/>
    </row>
    <row r="77" spans="2:15" ht="13.5" customHeight="1" x14ac:dyDescent="0.2">
      <c r="B77" s="214"/>
      <c r="C77" s="214"/>
      <c r="D77" s="214"/>
      <c r="E77" s="214"/>
      <c r="F77" s="214"/>
      <c r="G77" s="214"/>
      <c r="H77" s="214"/>
    </row>
    <row r="78" spans="2:15" ht="13.5" customHeight="1" x14ac:dyDescent="0.2">
      <c r="B78" s="516" t="s">
        <v>265</v>
      </c>
      <c r="C78" s="516"/>
      <c r="D78" s="516"/>
      <c r="E78" s="516"/>
      <c r="F78" s="516"/>
      <c r="G78" s="516"/>
      <c r="H78" s="516"/>
    </row>
    <row r="79" spans="2:15" ht="24" customHeight="1" x14ac:dyDescent="0.2">
      <c r="B79" s="516"/>
      <c r="C79" s="516"/>
      <c r="D79" s="516"/>
      <c r="E79" s="516"/>
      <c r="F79" s="516"/>
      <c r="G79" s="516"/>
      <c r="H79" s="516"/>
    </row>
    <row r="80" spans="2:15" ht="12.75" customHeight="1" x14ac:dyDescent="0.2">
      <c r="B80" s="337"/>
      <c r="C80" s="337"/>
      <c r="D80" s="337"/>
      <c r="E80" s="337"/>
      <c r="F80" s="337"/>
      <c r="G80" s="337"/>
      <c r="H80" s="337"/>
    </row>
    <row r="81" spans="2:8" x14ac:dyDescent="0.2">
      <c r="B81" s="430" t="s">
        <v>291</v>
      </c>
      <c r="C81" s="337"/>
      <c r="D81" s="337"/>
      <c r="E81" s="337"/>
      <c r="F81" s="337"/>
      <c r="G81" s="337"/>
      <c r="H81" s="337"/>
    </row>
  </sheetData>
  <sheetProtection selectLockedCells="1" selectUnlockedCells="1"/>
  <mergeCells count="26">
    <mergeCell ref="N74:O74"/>
    <mergeCell ref="B68:H69"/>
    <mergeCell ref="B71:H73"/>
    <mergeCell ref="B70:H70"/>
    <mergeCell ref="B65:H66"/>
    <mergeCell ref="N6:O6"/>
    <mergeCell ref="B7:C7"/>
    <mergeCell ref="B8:C8"/>
    <mergeCell ref="B6:J6"/>
    <mergeCell ref="K6:L7"/>
    <mergeCell ref="B63:H63"/>
    <mergeCell ref="B18:E18"/>
    <mergeCell ref="B78:H79"/>
    <mergeCell ref="B3:L3"/>
    <mergeCell ref="B4:L4"/>
    <mergeCell ref="G18:J18"/>
    <mergeCell ref="K18:L18"/>
    <mergeCell ref="B75:H76"/>
    <mergeCell ref="B20:B21"/>
    <mergeCell ref="D20:D21"/>
    <mergeCell ref="E20:E21"/>
    <mergeCell ref="G20:G21"/>
    <mergeCell ref="I20:I21"/>
    <mergeCell ref="J20:J21"/>
    <mergeCell ref="K20:K21"/>
    <mergeCell ref="L20:L21"/>
  </mergeCells>
  <pageMargins left="0.23622047244094491" right="0.19685039370078741" top="0.74803149606299213" bottom="0.74803149606299213" header="0.31496062992125984" footer="0.31496062992125984"/>
  <pageSetup paperSize="9" firstPageNumber="0" orientation="landscape" cellComments="asDisplayed" horizontalDpi="300" verticalDpi="3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86"/>
  <sheetViews>
    <sheetView zoomScale="80" zoomScaleNormal="80" workbookViewId="0">
      <selection activeCell="F48" sqref="F48"/>
    </sheetView>
  </sheetViews>
  <sheetFormatPr baseColWidth="10" defaultColWidth="14.85546875" defaultRowHeight="12.75" outlineLevelRow="1" x14ac:dyDescent="0.2"/>
  <cols>
    <col min="1" max="1" width="2.42578125" customWidth="1"/>
    <col min="2" max="7" width="14.7109375" customWidth="1"/>
    <col min="8" max="8" width="22.42578125" customWidth="1"/>
    <col min="9" max="9" width="14.7109375" customWidth="1"/>
    <col min="10" max="10" width="20.7109375" customWidth="1"/>
    <col min="11" max="12" width="14.7109375" customWidth="1"/>
    <col min="13" max="13" width="3.5703125" customWidth="1"/>
    <col min="14" max="15" width="22.7109375" style="214" customWidth="1"/>
  </cols>
  <sheetData>
    <row r="1" spans="1:15" ht="15" x14ac:dyDescent="0.2">
      <c r="B1" s="80" t="str">
        <f>'Budget global'!B1</f>
        <v>VILLE_Projet de xxxxxxxxxxxxxxxxxxxxxxxxxxxxxxxxxxxxxx</v>
      </c>
      <c r="K1" s="36" t="s">
        <v>90</v>
      </c>
      <c r="L1" s="82" t="str">
        <f>'Budget global'!D1</f>
        <v>XX-XX-XXXX</v>
      </c>
      <c r="M1" s="82"/>
      <c r="N1"/>
      <c r="O1"/>
    </row>
    <row r="2" spans="1:15" ht="15" customHeight="1" thickBot="1" x14ac:dyDescent="0.25">
      <c r="B2" s="35"/>
      <c r="C2" s="95"/>
      <c r="D2" s="96"/>
    </row>
    <row r="3" spans="1:15" s="192" customFormat="1" ht="20.100000000000001" customHeight="1" thickBot="1" x14ac:dyDescent="0.25">
      <c r="B3" s="497" t="s">
        <v>119</v>
      </c>
      <c r="C3" s="498"/>
      <c r="D3" s="498"/>
      <c r="E3" s="498"/>
      <c r="F3" s="498"/>
      <c r="G3" s="498"/>
      <c r="H3" s="498"/>
      <c r="I3" s="498"/>
      <c r="J3" s="498"/>
      <c r="K3" s="498"/>
      <c r="L3" s="499"/>
      <c r="M3" s="382"/>
      <c r="N3" s="244"/>
      <c r="O3" s="244"/>
    </row>
    <row r="4" spans="1:15" s="199" customFormat="1" ht="30" customHeight="1" thickBot="1" x14ac:dyDescent="0.25">
      <c r="B4" s="530" t="s">
        <v>249</v>
      </c>
      <c r="C4" s="531"/>
      <c r="D4" s="531"/>
      <c r="E4" s="531"/>
      <c r="F4" s="531"/>
      <c r="G4" s="531"/>
      <c r="H4" s="531"/>
      <c r="I4" s="531"/>
      <c r="J4" s="531"/>
      <c r="K4" s="531"/>
      <c r="L4" s="532"/>
      <c r="M4" s="383"/>
      <c r="N4" s="216"/>
      <c r="O4" s="216"/>
    </row>
    <row r="5" spans="1:15" ht="13.5" thickBot="1" x14ac:dyDescent="0.25">
      <c r="B5" s="245"/>
      <c r="C5" s="245"/>
      <c r="D5" s="245"/>
      <c r="E5" s="245"/>
      <c r="F5" s="245"/>
      <c r="G5" s="245"/>
      <c r="H5" s="245"/>
      <c r="I5" s="245"/>
      <c r="J5" s="245"/>
      <c r="K5" s="245"/>
      <c r="L5" s="214"/>
      <c r="M5" s="214"/>
      <c r="N5" s="100"/>
    </row>
    <row r="6" spans="1:15" ht="12.75" customHeight="1" thickBot="1" x14ac:dyDescent="0.25">
      <c r="A6" s="192"/>
      <c r="B6" s="508" t="s">
        <v>0</v>
      </c>
      <c r="C6" s="508"/>
      <c r="D6" s="508"/>
      <c r="E6" s="508"/>
      <c r="F6" s="508"/>
      <c r="G6" s="508"/>
      <c r="H6" s="508"/>
      <c r="I6" s="508"/>
      <c r="J6" s="508"/>
      <c r="K6" s="509" t="s">
        <v>46</v>
      </c>
      <c r="L6" s="509"/>
      <c r="M6" s="384"/>
      <c r="N6" s="503" t="s">
        <v>149</v>
      </c>
      <c r="O6" s="503"/>
    </row>
    <row r="7" spans="1:15" ht="26.25" thickBot="1" x14ac:dyDescent="0.25">
      <c r="B7" s="504" t="s">
        <v>1</v>
      </c>
      <c r="C7" s="504"/>
      <c r="D7" s="247" t="s">
        <v>125</v>
      </c>
      <c r="E7" s="247" t="s">
        <v>126</v>
      </c>
      <c r="F7" s="247" t="s">
        <v>127</v>
      </c>
      <c r="G7" s="248" t="s">
        <v>128</v>
      </c>
      <c r="H7" s="247" t="s">
        <v>129</v>
      </c>
      <c r="I7" s="249" t="s">
        <v>2</v>
      </c>
      <c r="J7" s="250" t="s">
        <v>3</v>
      </c>
      <c r="K7" s="509"/>
      <c r="L7" s="509"/>
      <c r="M7" s="385"/>
    </row>
    <row r="8" spans="1:15" ht="12.75" customHeight="1" thickBot="1" x14ac:dyDescent="0.25">
      <c r="B8" s="507" t="s">
        <v>4</v>
      </c>
      <c r="C8" s="507"/>
      <c r="D8" s="251">
        <v>0.08</v>
      </c>
      <c r="E8" s="252">
        <v>7.4999999999999997E-2</v>
      </c>
      <c r="F8" s="253">
        <v>7.0000000000000007E-2</v>
      </c>
      <c r="G8" s="252">
        <v>6.5000000000000002E-2</v>
      </c>
      <c r="H8" s="252">
        <v>6.25E-2</v>
      </c>
      <c r="I8" s="253">
        <v>0.06</v>
      </c>
      <c r="J8" s="254"/>
      <c r="K8" s="268" t="s">
        <v>47</v>
      </c>
      <c r="L8" s="256" t="s">
        <v>5</v>
      </c>
      <c r="M8" s="386"/>
    </row>
    <row r="9" spans="1:15" ht="13.5" thickBot="1" x14ac:dyDescent="0.25">
      <c r="A9" s="133"/>
      <c r="B9" s="257" t="s">
        <v>6</v>
      </c>
      <c r="C9" s="267">
        <f>'Budget global'!G68</f>
        <v>2370000</v>
      </c>
      <c r="D9" s="258">
        <f>IF($C9&gt;$B$12,$B$12*$D$8,$C9*$D$8)</f>
        <v>17600</v>
      </c>
      <c r="E9" s="259">
        <f>IF($C9&gt;$B$13,($B$13-$B$12)*$E$8,IF($C9&gt;$B$12,($C9-$B$12)*$E$8,0))</f>
        <v>39750</v>
      </c>
      <c r="F9" s="259">
        <f>IF($C9&gt;$B$14,($B$14-$B$13)*$F$8,IF($C9&gt;$B$13,($C9-$B$13)*$F$8,0))</f>
        <v>80500.000000000015</v>
      </c>
      <c r="G9" s="259">
        <f>IF($C9&gt;$B$15,($B$15-$B$14)*$G$8,IF($C9&gt;$B$14,($C9-$B$14)*$G$8,0))</f>
        <v>30550</v>
      </c>
      <c r="H9" s="259">
        <f>IF($C9&gt;$B$16,($B$16-$B$15)*$H$8,IF($C9&gt;$B$15,($C9-$B$15)*$H$8,0))</f>
        <v>0</v>
      </c>
      <c r="I9" s="259">
        <f>IF($C9&gt;$B$16,($C9-$B$16)*$I$8,0)</f>
        <v>0</v>
      </c>
      <c r="J9" s="260">
        <f>SUM(D9:I9)</f>
        <v>168400</v>
      </c>
      <c r="K9" s="269">
        <f>(C9*L9)/100</f>
        <v>168400</v>
      </c>
      <c r="L9" s="262">
        <f>(J9/C9)*100</f>
        <v>7.1054852320675099</v>
      </c>
      <c r="M9" s="264"/>
      <c r="N9" s="263">
        <f>L9*O75</f>
        <v>7.1178126089195701E-2</v>
      </c>
    </row>
    <row r="10" spans="1:15" x14ac:dyDescent="0.2">
      <c r="A10" s="1"/>
      <c r="B10" s="214"/>
      <c r="C10" s="214" t="s">
        <v>145</v>
      </c>
      <c r="D10" s="214"/>
      <c r="E10" s="214"/>
      <c r="F10" s="214"/>
      <c r="G10" s="214"/>
      <c r="H10" s="214"/>
      <c r="I10" s="214"/>
      <c r="J10" s="100" t="s">
        <v>203</v>
      </c>
      <c r="K10" s="340">
        <v>0</v>
      </c>
      <c r="L10" s="341">
        <f>K10/C9*100</f>
        <v>0</v>
      </c>
      <c r="M10" s="341"/>
      <c r="N10" s="263">
        <f>L10*O75</f>
        <v>0</v>
      </c>
    </row>
    <row r="11" spans="1:15" x14ac:dyDescent="0.2">
      <c r="A11" s="1"/>
      <c r="B11" s="214"/>
      <c r="C11" s="214"/>
      <c r="D11" s="214"/>
      <c r="E11" s="214"/>
      <c r="F11" s="214"/>
      <c r="G11" s="214"/>
      <c r="H11" s="214"/>
      <c r="I11" s="214"/>
      <c r="J11" s="319" t="s">
        <v>204</v>
      </c>
      <c r="K11" s="340">
        <v>0</v>
      </c>
      <c r="L11" s="341">
        <v>0</v>
      </c>
      <c r="M11" s="341"/>
      <c r="N11" s="263">
        <f>L11*O75</f>
        <v>0</v>
      </c>
    </row>
    <row r="12" spans="1:15" hidden="1" outlineLevel="1" x14ac:dyDescent="0.2">
      <c r="A12" s="1"/>
      <c r="B12" s="214">
        <v>220000</v>
      </c>
      <c r="C12" s="264"/>
      <c r="D12" s="214"/>
      <c r="E12" s="214"/>
      <c r="F12" s="264"/>
      <c r="G12" s="264"/>
      <c r="H12" s="214"/>
      <c r="I12" s="214"/>
      <c r="J12" s="214"/>
      <c r="K12" s="214"/>
      <c r="L12" s="214"/>
      <c r="M12" s="214"/>
    </row>
    <row r="13" spans="1:15" hidden="1" outlineLevel="1" x14ac:dyDescent="0.2">
      <c r="A13" s="1"/>
      <c r="B13" s="214">
        <v>750000</v>
      </c>
      <c r="C13" s="214"/>
      <c r="D13" s="214"/>
      <c r="E13" s="214"/>
      <c r="F13" s="214"/>
      <c r="G13" s="214"/>
      <c r="H13" s="214"/>
      <c r="I13" s="214"/>
      <c r="J13" s="214"/>
      <c r="K13" s="214"/>
      <c r="L13" s="214"/>
      <c r="M13" s="214"/>
    </row>
    <row r="14" spans="1:15" hidden="1" outlineLevel="1" x14ac:dyDescent="0.2">
      <c r="A14" s="1"/>
      <c r="B14" s="214">
        <v>1900000</v>
      </c>
      <c r="C14" s="214"/>
      <c r="D14" s="214"/>
      <c r="E14" s="214"/>
      <c r="F14" s="214"/>
      <c r="G14" s="214"/>
      <c r="H14" s="214"/>
      <c r="I14" s="214"/>
      <c r="J14" s="214"/>
      <c r="K14" s="214"/>
      <c r="L14" s="214"/>
      <c r="M14" s="214"/>
    </row>
    <row r="15" spans="1:15" hidden="1" outlineLevel="1" x14ac:dyDescent="0.2">
      <c r="A15" s="1"/>
      <c r="B15" s="214">
        <v>7500000</v>
      </c>
      <c r="C15" s="214"/>
      <c r="D15" s="214"/>
      <c r="E15" s="214"/>
      <c r="F15" s="214"/>
      <c r="G15" s="214"/>
      <c r="H15" s="214"/>
      <c r="I15" s="214"/>
      <c r="J15" s="214"/>
      <c r="K15" s="214"/>
      <c r="L15" s="214"/>
      <c r="M15" s="214"/>
    </row>
    <row r="16" spans="1:15" hidden="1" outlineLevel="1" x14ac:dyDescent="0.2">
      <c r="A16" s="1"/>
      <c r="B16" s="214">
        <v>22600000</v>
      </c>
      <c r="C16" s="214"/>
      <c r="D16" s="214"/>
      <c r="E16" s="214"/>
      <c r="F16" s="214"/>
      <c r="G16" s="214"/>
      <c r="H16" s="214"/>
      <c r="I16" s="214"/>
      <c r="J16" s="214"/>
      <c r="K16" s="214"/>
      <c r="L16" s="214"/>
      <c r="M16" s="214"/>
    </row>
    <row r="17" spans="1:15" ht="13.5" collapsed="1" thickBot="1" x14ac:dyDescent="0.25">
      <c r="A17" s="1"/>
    </row>
    <row r="18" spans="1:15" ht="13.5" thickBot="1" x14ac:dyDescent="0.25">
      <c r="A18" s="1"/>
      <c r="B18" s="505" t="s">
        <v>70</v>
      </c>
      <c r="C18" s="505"/>
      <c r="D18" s="505"/>
      <c r="E18" s="505"/>
      <c r="G18" s="505" t="s">
        <v>71</v>
      </c>
      <c r="H18" s="505"/>
      <c r="I18" s="505"/>
      <c r="J18" s="505"/>
      <c r="K18" s="506" t="s">
        <v>3</v>
      </c>
      <c r="L18" s="506"/>
      <c r="M18" s="387"/>
    </row>
    <row r="19" spans="1:15" ht="26.25" thickBot="1" x14ac:dyDescent="0.25">
      <c r="A19" s="1"/>
      <c r="B19" s="31" t="s">
        <v>50</v>
      </c>
      <c r="C19" s="31" t="s">
        <v>279</v>
      </c>
      <c r="D19" s="31" t="s">
        <v>8</v>
      </c>
      <c r="E19" s="59" t="s">
        <v>9</v>
      </c>
      <c r="G19" s="31" t="s">
        <v>7</v>
      </c>
      <c r="H19" s="59" t="s">
        <v>279</v>
      </c>
      <c r="I19" s="59" t="s">
        <v>8</v>
      </c>
      <c r="J19" s="59" t="s">
        <v>9</v>
      </c>
      <c r="K19" s="1"/>
      <c r="L19" s="2"/>
      <c r="N19" s="265" t="s">
        <v>21</v>
      </c>
      <c r="O19" s="265" t="s">
        <v>22</v>
      </c>
    </row>
    <row r="20" spans="1:15" ht="13.5" thickBot="1" x14ac:dyDescent="0.25">
      <c r="A20" s="1"/>
      <c r="B20" s="510">
        <f>C9</f>
        <v>2370000</v>
      </c>
      <c r="C20" s="425">
        <v>0.2</v>
      </c>
      <c r="D20" s="512">
        <f>VLOOKUP(C21,B24:C62,2,TRUE)</f>
        <v>13.12</v>
      </c>
      <c r="E20" s="522">
        <f>(C21*D20)/100</f>
        <v>62188.800000000003</v>
      </c>
      <c r="G20" s="510">
        <f>C9</f>
        <v>2370000</v>
      </c>
      <c r="H20" s="425">
        <v>0.2</v>
      </c>
      <c r="I20" s="512">
        <f>VLOOKUP(H21,G24:H62,2,TRUE)</f>
        <v>12.24</v>
      </c>
      <c r="J20" s="522">
        <f>(H21*I20)/100</f>
        <v>58017.599999999999</v>
      </c>
      <c r="K20" s="518">
        <f>J20+E20</f>
        <v>120206.39999999999</v>
      </c>
      <c r="L20" s="524">
        <f>(K20/C9)*100</f>
        <v>5.0719999999999992</v>
      </c>
      <c r="M20" s="14"/>
      <c r="N20" s="517">
        <f>D22*O75*100</f>
        <v>2.6285524036435717E-2</v>
      </c>
      <c r="O20" s="517">
        <f>I22*O75*100</f>
        <v>2.4522470594967458E-2</v>
      </c>
    </row>
    <row r="21" spans="1:15" ht="13.5" thickBot="1" x14ac:dyDescent="0.25">
      <c r="A21" s="1"/>
      <c r="B21" s="511"/>
      <c r="C21" s="3">
        <f>B20*C20</f>
        <v>474000</v>
      </c>
      <c r="D21" s="513"/>
      <c r="E21" s="523"/>
      <c r="G21" s="511"/>
      <c r="H21" s="3">
        <f>G20*H20</f>
        <v>474000</v>
      </c>
      <c r="I21" s="513"/>
      <c r="J21" s="523"/>
      <c r="K21" s="519"/>
      <c r="L21" s="525"/>
      <c r="M21" s="14"/>
      <c r="N21" s="517"/>
      <c r="O21" s="517"/>
    </row>
    <row r="22" spans="1:15" x14ac:dyDescent="0.2">
      <c r="A22" s="1"/>
      <c r="B22" s="26"/>
      <c r="C22" s="13" t="s">
        <v>20</v>
      </c>
      <c r="D22" s="28">
        <f>E20/C9</f>
        <v>2.6240000000000003E-2</v>
      </c>
      <c r="E22" s="13"/>
      <c r="G22" s="26"/>
      <c r="H22" s="13" t="s">
        <v>20</v>
      </c>
      <c r="I22" s="28">
        <f>J20/C9</f>
        <v>2.4479999999999998E-2</v>
      </c>
      <c r="J22" s="13"/>
      <c r="K22" s="27"/>
      <c r="L22" s="14"/>
      <c r="M22" s="14"/>
    </row>
    <row r="23" spans="1:15" x14ac:dyDescent="0.2">
      <c r="A23" s="1"/>
    </row>
    <row r="24" spans="1:15" ht="13.5" hidden="1" customHeight="1" outlineLevel="1" thickBot="1" x14ac:dyDescent="0.25">
      <c r="A24" s="1"/>
      <c r="B24" s="5" t="s">
        <v>10</v>
      </c>
      <c r="C24" s="6" t="s">
        <v>16</v>
      </c>
      <c r="G24" s="5" t="s">
        <v>10</v>
      </c>
      <c r="H24" s="6" t="s">
        <v>11</v>
      </c>
    </row>
    <row r="25" spans="1:15" ht="13.5" hidden="1" customHeight="1" outlineLevel="1" thickBot="1" x14ac:dyDescent="0.25">
      <c r="A25" s="1"/>
      <c r="B25" s="29">
        <v>0</v>
      </c>
      <c r="C25" s="2">
        <v>16.21</v>
      </c>
      <c r="G25" s="30">
        <v>0</v>
      </c>
      <c r="H25" s="2">
        <v>15.13</v>
      </c>
    </row>
    <row r="26" spans="1:15" ht="12.75" hidden="1" customHeight="1" outlineLevel="1" x14ac:dyDescent="0.2">
      <c r="A26" s="1"/>
      <c r="B26" s="7">
        <v>100000</v>
      </c>
      <c r="C26" s="2">
        <v>16.21</v>
      </c>
      <c r="G26" s="8">
        <v>100000</v>
      </c>
      <c r="H26" s="2">
        <v>15.13</v>
      </c>
    </row>
    <row r="27" spans="1:15" ht="12.75" hidden="1" customHeight="1" outlineLevel="1" x14ac:dyDescent="0.2">
      <c r="A27" s="1"/>
      <c r="B27" s="8">
        <v>125000</v>
      </c>
      <c r="C27" s="2">
        <v>15.71</v>
      </c>
      <c r="G27" s="8">
        <v>125000</v>
      </c>
      <c r="H27" s="2">
        <v>14.66</v>
      </c>
    </row>
    <row r="28" spans="1:15" ht="12.75" hidden="1" customHeight="1" outlineLevel="1" x14ac:dyDescent="0.2">
      <c r="A28" s="1"/>
      <c r="B28" s="8">
        <v>150000</v>
      </c>
      <c r="C28" s="2">
        <v>15.31</v>
      </c>
      <c r="G28" s="8">
        <v>150000</v>
      </c>
      <c r="H28" s="2">
        <v>14.29</v>
      </c>
    </row>
    <row r="29" spans="1:15" ht="12.75" hidden="1" customHeight="1" outlineLevel="1" x14ac:dyDescent="0.2">
      <c r="A29" s="1"/>
      <c r="B29" s="8">
        <v>175000</v>
      </c>
      <c r="C29" s="2">
        <v>14.98</v>
      </c>
      <c r="G29" s="8">
        <v>175000</v>
      </c>
      <c r="H29" s="2">
        <v>13.98</v>
      </c>
    </row>
    <row r="30" spans="1:15" ht="12.75" hidden="1" customHeight="1" outlineLevel="1" x14ac:dyDescent="0.2">
      <c r="A30" s="1"/>
      <c r="B30" s="8">
        <v>200000</v>
      </c>
      <c r="C30" s="2">
        <v>14.7</v>
      </c>
      <c r="G30" s="8">
        <v>200000</v>
      </c>
      <c r="H30" s="2">
        <v>13.72</v>
      </c>
    </row>
    <row r="31" spans="1:15" ht="12.75" hidden="1" customHeight="1" outlineLevel="1" x14ac:dyDescent="0.2">
      <c r="A31" s="1"/>
      <c r="B31" s="8">
        <v>225000</v>
      </c>
      <c r="C31" s="2">
        <v>14.46</v>
      </c>
      <c r="G31" s="8">
        <v>225000</v>
      </c>
      <c r="H31" s="2">
        <v>13.5</v>
      </c>
    </row>
    <row r="32" spans="1:15" ht="12.75" hidden="1" customHeight="1" outlineLevel="1" x14ac:dyDescent="0.2">
      <c r="A32" s="1"/>
      <c r="B32" s="8">
        <v>250000</v>
      </c>
      <c r="C32" s="2">
        <v>14.25</v>
      </c>
      <c r="G32" s="8">
        <v>250000</v>
      </c>
      <c r="H32" s="2">
        <v>13.3</v>
      </c>
    </row>
    <row r="33" spans="1:8" ht="12.75" hidden="1" customHeight="1" outlineLevel="1" x14ac:dyDescent="0.2">
      <c r="A33" s="1"/>
      <c r="B33" s="8">
        <v>300000</v>
      </c>
      <c r="C33" s="2">
        <v>13.89</v>
      </c>
      <c r="G33" s="8">
        <v>300000</v>
      </c>
      <c r="H33" s="2">
        <v>12.96</v>
      </c>
    </row>
    <row r="34" spans="1:8" ht="12.75" hidden="1" customHeight="1" outlineLevel="1" x14ac:dyDescent="0.2">
      <c r="A34" s="1"/>
      <c r="B34" s="8">
        <v>350000</v>
      </c>
      <c r="C34" s="2">
        <v>13.59</v>
      </c>
      <c r="G34" s="8">
        <v>350000</v>
      </c>
      <c r="H34" s="2">
        <v>12.68</v>
      </c>
    </row>
    <row r="35" spans="1:8" ht="12.75" hidden="1" customHeight="1" outlineLevel="1" x14ac:dyDescent="0.2">
      <c r="A35" s="1"/>
      <c r="B35" s="8">
        <v>400000</v>
      </c>
      <c r="C35" s="2">
        <v>13.34</v>
      </c>
      <c r="G35" s="8">
        <v>400000</v>
      </c>
      <c r="H35" s="2">
        <v>12.45</v>
      </c>
    </row>
    <row r="36" spans="1:8" ht="12.75" hidden="1" customHeight="1" outlineLevel="1" x14ac:dyDescent="0.2">
      <c r="A36" s="1"/>
      <c r="B36" s="8">
        <v>450000</v>
      </c>
      <c r="C36" s="2">
        <v>13.12</v>
      </c>
      <c r="G36" s="8">
        <v>450000</v>
      </c>
      <c r="H36" s="2">
        <v>12.24</v>
      </c>
    </row>
    <row r="37" spans="1:8" ht="12.75" hidden="1" customHeight="1" outlineLevel="1" x14ac:dyDescent="0.2">
      <c r="A37" s="1"/>
      <c r="B37" s="8">
        <v>500000</v>
      </c>
      <c r="C37" s="2">
        <v>12.92</v>
      </c>
      <c r="G37" s="8">
        <v>500000</v>
      </c>
      <c r="H37" s="2">
        <v>12.06</v>
      </c>
    </row>
    <row r="38" spans="1:8" ht="12.75" hidden="1" customHeight="1" outlineLevel="1" x14ac:dyDescent="0.2">
      <c r="A38" s="1"/>
      <c r="B38" s="8">
        <v>600000</v>
      </c>
      <c r="C38" s="2">
        <v>12.6</v>
      </c>
      <c r="G38" s="8">
        <v>600000</v>
      </c>
      <c r="H38" s="2">
        <v>11.76</v>
      </c>
    </row>
    <row r="39" spans="1:8" ht="12.75" hidden="1" customHeight="1" outlineLevel="1" x14ac:dyDescent="0.2">
      <c r="A39" s="1"/>
      <c r="B39" s="8">
        <v>700000</v>
      </c>
      <c r="C39" s="2">
        <v>12.33</v>
      </c>
      <c r="G39" s="8">
        <v>700000</v>
      </c>
      <c r="H39" s="2">
        <v>11.51</v>
      </c>
    </row>
    <row r="40" spans="1:8" ht="12.75" hidden="1" customHeight="1" outlineLevel="1" x14ac:dyDescent="0.2">
      <c r="A40" s="1"/>
      <c r="B40" s="8">
        <v>800000</v>
      </c>
      <c r="C40" s="2">
        <v>12.1</v>
      </c>
      <c r="G40" s="8">
        <v>800000</v>
      </c>
      <c r="H40" s="2">
        <v>11.29</v>
      </c>
    </row>
    <row r="41" spans="1:8" ht="12.75" hidden="1" customHeight="1" outlineLevel="1" x14ac:dyDescent="0.2">
      <c r="A41" s="1"/>
      <c r="B41" s="8">
        <v>900000</v>
      </c>
      <c r="C41" s="2">
        <v>11.9</v>
      </c>
      <c r="G41" s="8">
        <v>900000</v>
      </c>
      <c r="H41" s="2">
        <v>11.11</v>
      </c>
    </row>
    <row r="42" spans="1:8" ht="12.75" hidden="1" customHeight="1" outlineLevel="1" x14ac:dyDescent="0.2">
      <c r="A42" s="1"/>
      <c r="B42" s="8">
        <v>1000000</v>
      </c>
      <c r="C42" s="2">
        <v>11.72</v>
      </c>
      <c r="G42" s="8">
        <v>1000000</v>
      </c>
      <c r="H42" s="2">
        <v>10.94</v>
      </c>
    </row>
    <row r="43" spans="1:8" ht="12.75" hidden="1" customHeight="1" outlineLevel="1" x14ac:dyDescent="0.2">
      <c r="A43" s="1"/>
      <c r="B43" s="8">
        <v>1250000</v>
      </c>
      <c r="C43" s="2">
        <v>11.36</v>
      </c>
      <c r="G43" s="8">
        <v>1250000</v>
      </c>
      <c r="H43" s="2">
        <v>10.6</v>
      </c>
    </row>
    <row r="44" spans="1:8" ht="12.75" hidden="1" customHeight="1" outlineLevel="1" x14ac:dyDescent="0.2">
      <c r="A44" s="1"/>
      <c r="B44" s="8">
        <v>1500000</v>
      </c>
      <c r="C44" s="2">
        <v>11.07</v>
      </c>
      <c r="G44" s="8">
        <v>1500000</v>
      </c>
      <c r="H44" s="2">
        <v>10.34</v>
      </c>
    </row>
    <row r="45" spans="1:8" ht="12.75" hidden="1" customHeight="1" outlineLevel="1" x14ac:dyDescent="0.2">
      <c r="A45" s="1"/>
      <c r="B45" s="8">
        <v>1750000</v>
      </c>
      <c r="C45" s="2">
        <v>10.84</v>
      </c>
      <c r="G45" s="8">
        <v>1750000</v>
      </c>
      <c r="H45" s="2">
        <v>10.11</v>
      </c>
    </row>
    <row r="46" spans="1:8" ht="12.75" hidden="1" customHeight="1" outlineLevel="1" x14ac:dyDescent="0.2">
      <c r="A46" s="1"/>
      <c r="B46" s="8">
        <v>2000000</v>
      </c>
      <c r="C46" s="2">
        <v>10.63</v>
      </c>
      <c r="G46" s="8">
        <v>2000000</v>
      </c>
      <c r="H46" s="2">
        <v>9.93</v>
      </c>
    </row>
    <row r="47" spans="1:8" ht="12.75" hidden="1" customHeight="1" outlineLevel="1" x14ac:dyDescent="0.2">
      <c r="A47" s="1"/>
      <c r="B47" s="8">
        <v>2250000</v>
      </c>
      <c r="C47" s="2">
        <v>10.46</v>
      </c>
      <c r="G47" s="8">
        <v>2250000</v>
      </c>
      <c r="H47" s="2">
        <v>9.76</v>
      </c>
    </row>
    <row r="48" spans="1:8" ht="12.75" hidden="1" customHeight="1" outlineLevel="1" x14ac:dyDescent="0.2">
      <c r="B48" s="8">
        <v>2500000</v>
      </c>
      <c r="C48" s="2">
        <v>10.31</v>
      </c>
      <c r="G48" s="8">
        <v>2500000</v>
      </c>
      <c r="H48" s="2">
        <v>9.6199999999999992</v>
      </c>
    </row>
    <row r="49" spans="1:16" ht="12.75" hidden="1" customHeight="1" outlineLevel="1" x14ac:dyDescent="0.2">
      <c r="B49" s="8">
        <v>3000000</v>
      </c>
      <c r="C49" s="2">
        <v>10.039999999999999</v>
      </c>
      <c r="G49" s="8">
        <v>3000000</v>
      </c>
      <c r="H49" s="2">
        <v>9.3800000000000008</v>
      </c>
    </row>
    <row r="50" spans="1:16" ht="12.75" hidden="1" customHeight="1" outlineLevel="1" x14ac:dyDescent="0.2">
      <c r="A50" s="48"/>
      <c r="B50" s="8">
        <v>3500000</v>
      </c>
      <c r="C50" s="2">
        <v>9.83</v>
      </c>
      <c r="G50" s="8">
        <v>3500000</v>
      </c>
      <c r="H50" s="2">
        <v>9.18</v>
      </c>
    </row>
    <row r="51" spans="1:16" ht="12.75" hidden="1" customHeight="1" outlineLevel="1" x14ac:dyDescent="0.2">
      <c r="B51" s="8">
        <v>4000000</v>
      </c>
      <c r="C51" s="2">
        <v>9.65</v>
      </c>
      <c r="G51" s="8">
        <v>4000000</v>
      </c>
      <c r="H51" s="2">
        <v>9</v>
      </c>
    </row>
    <row r="52" spans="1:16" ht="12.75" hidden="1" customHeight="1" outlineLevel="1" x14ac:dyDescent="0.2">
      <c r="B52" s="8">
        <v>5000000</v>
      </c>
      <c r="C52" s="2">
        <v>9.35</v>
      </c>
      <c r="G52" s="8">
        <v>5000000</v>
      </c>
      <c r="H52" s="2">
        <v>8.73</v>
      </c>
    </row>
    <row r="53" spans="1:16" ht="12.75" hidden="1" customHeight="1" outlineLevel="1" x14ac:dyDescent="0.2">
      <c r="B53" s="8">
        <v>6000000</v>
      </c>
      <c r="C53" s="2">
        <v>9.11</v>
      </c>
      <c r="G53" s="8">
        <v>6000000</v>
      </c>
      <c r="H53" s="2">
        <v>8.51</v>
      </c>
    </row>
    <row r="54" spans="1:16" ht="12.75" hidden="1" customHeight="1" outlineLevel="1" x14ac:dyDescent="0.2">
      <c r="B54" s="8">
        <v>7000000</v>
      </c>
      <c r="C54" s="2">
        <v>8.92</v>
      </c>
      <c r="G54" s="8">
        <v>7000000</v>
      </c>
      <c r="H54" s="2">
        <v>8.32</v>
      </c>
    </row>
    <row r="55" spans="1:16" ht="12.75" hidden="1" customHeight="1" outlineLevel="1" x14ac:dyDescent="0.2">
      <c r="B55" s="8">
        <v>8000000</v>
      </c>
      <c r="C55" s="2">
        <v>8.75</v>
      </c>
      <c r="G55" s="8">
        <v>8000000</v>
      </c>
      <c r="H55" s="2">
        <v>8.17</v>
      </c>
    </row>
    <row r="56" spans="1:16" ht="12.75" hidden="1" customHeight="1" outlineLevel="1" x14ac:dyDescent="0.2">
      <c r="B56" s="8">
        <v>9000000</v>
      </c>
      <c r="C56" s="2">
        <v>8.61</v>
      </c>
      <c r="G56" s="8">
        <v>9000000</v>
      </c>
      <c r="H56" s="2">
        <v>8.0299999999999994</v>
      </c>
    </row>
    <row r="57" spans="1:16" ht="12.75" hidden="1" customHeight="1" outlineLevel="1" x14ac:dyDescent="0.2">
      <c r="B57" s="8">
        <v>10000000</v>
      </c>
      <c r="C57" s="2">
        <v>8.48</v>
      </c>
      <c r="G57" s="8">
        <v>10000000</v>
      </c>
      <c r="H57" s="2">
        <v>7.92</v>
      </c>
    </row>
    <row r="58" spans="1:16" ht="12.75" hidden="1" customHeight="1" outlineLevel="1" x14ac:dyDescent="0.2">
      <c r="A58" s="49"/>
      <c r="B58" s="8">
        <v>11000000</v>
      </c>
      <c r="C58" s="2">
        <v>8.3699999999999992</v>
      </c>
      <c r="G58" s="8">
        <v>11000000</v>
      </c>
      <c r="H58" s="2">
        <v>7.81</v>
      </c>
    </row>
    <row r="59" spans="1:16" ht="12.75" hidden="1" customHeight="1" outlineLevel="1" x14ac:dyDescent="0.2">
      <c r="B59" s="8">
        <v>12000000</v>
      </c>
      <c r="C59" s="2">
        <v>8.26</v>
      </c>
      <c r="G59" s="8">
        <v>12000000</v>
      </c>
      <c r="H59" s="2">
        <v>7.72</v>
      </c>
    </row>
    <row r="60" spans="1:16" ht="12.75" hidden="1" customHeight="1" outlineLevel="1" x14ac:dyDescent="0.2">
      <c r="B60" s="8">
        <v>13000000</v>
      </c>
      <c r="C60" s="2">
        <v>8.17</v>
      </c>
      <c r="G60" s="8">
        <v>13000000</v>
      </c>
      <c r="H60" s="2">
        <v>7.63</v>
      </c>
    </row>
    <row r="61" spans="1:16" ht="12.75" hidden="1" customHeight="1" outlineLevel="1" x14ac:dyDescent="0.2">
      <c r="B61" s="8">
        <v>14000000</v>
      </c>
      <c r="C61" s="2">
        <v>8.09</v>
      </c>
      <c r="G61" s="8">
        <v>14000000</v>
      </c>
      <c r="H61" s="2">
        <v>7.55</v>
      </c>
    </row>
    <row r="62" spans="1:16" ht="12.75" hidden="1" customHeight="1" outlineLevel="1" thickBot="1" x14ac:dyDescent="0.25">
      <c r="B62" s="3">
        <v>15000000</v>
      </c>
      <c r="C62" s="9">
        <v>8.01</v>
      </c>
      <c r="G62" s="3">
        <v>15000000</v>
      </c>
      <c r="H62" s="9">
        <v>7.48</v>
      </c>
    </row>
    <row r="63" spans="1:16" ht="80.099999999999994" customHeight="1" collapsed="1" x14ac:dyDescent="0.2">
      <c r="B63" s="496" t="s">
        <v>151</v>
      </c>
      <c r="C63" s="496"/>
      <c r="D63" s="496"/>
      <c r="E63" s="496"/>
      <c r="F63" s="496"/>
      <c r="G63" s="496"/>
      <c r="H63" s="496"/>
      <c r="P63" s="40"/>
    </row>
    <row r="64" spans="1:16" ht="13.5" customHeight="1" thickBot="1" x14ac:dyDescent="0.25">
      <c r="B64" s="426"/>
      <c r="C64" s="214"/>
      <c r="D64" s="214"/>
      <c r="E64" s="214"/>
      <c r="F64" s="214"/>
      <c r="G64" s="426"/>
      <c r="H64" s="214"/>
    </row>
    <row r="65" spans="2:15" ht="13.5" customHeight="1" thickBot="1" x14ac:dyDescent="0.25">
      <c r="B65" s="495" t="s">
        <v>280</v>
      </c>
      <c r="C65" s="495"/>
      <c r="D65" s="495"/>
      <c r="E65" s="495"/>
      <c r="F65" s="495"/>
      <c r="G65" s="495"/>
      <c r="H65" s="495"/>
      <c r="J65" s="10" t="s">
        <v>12</v>
      </c>
      <c r="K65" s="11">
        <f>K9+K20</f>
        <v>288606.40000000002</v>
      </c>
      <c r="L65" s="12">
        <f>L9+L10+L11+L20</f>
        <v>12.177485232067509</v>
      </c>
      <c r="M65" s="388"/>
      <c r="N65" s="263">
        <f>L65*O75</f>
        <v>0.12198612072059886</v>
      </c>
    </row>
    <row r="66" spans="2:15" ht="13.5" customHeight="1" x14ac:dyDescent="0.2">
      <c r="B66" s="495"/>
      <c r="C66" s="495"/>
      <c r="D66" s="495"/>
      <c r="E66" s="495"/>
      <c r="F66" s="495"/>
      <c r="G66" s="495"/>
      <c r="H66" s="495"/>
      <c r="J66" t="s">
        <v>69</v>
      </c>
      <c r="K66" t="s">
        <v>23</v>
      </c>
      <c r="L66" t="s">
        <v>23</v>
      </c>
    </row>
    <row r="67" spans="2:15" ht="13.5" customHeight="1" x14ac:dyDescent="0.2">
      <c r="B67" s="427"/>
      <c r="C67" s="427"/>
      <c r="D67" s="427"/>
      <c r="E67" s="427"/>
      <c r="F67" s="427"/>
      <c r="G67" s="214"/>
      <c r="H67" s="214"/>
      <c r="J67" t="s">
        <v>72</v>
      </c>
      <c r="K67" t="s">
        <v>23</v>
      </c>
      <c r="L67" t="s">
        <v>23</v>
      </c>
      <c r="N67" s="263"/>
    </row>
    <row r="68" spans="2:15" ht="13.5" customHeight="1" x14ac:dyDescent="0.2">
      <c r="B68" s="516" t="s">
        <v>281</v>
      </c>
      <c r="C68" s="516"/>
      <c r="D68" s="516"/>
      <c r="E68" s="516"/>
      <c r="F68" s="516"/>
      <c r="G68" s="516"/>
      <c r="H68" s="516"/>
      <c r="J68" t="s">
        <v>13</v>
      </c>
      <c r="K68" s="13">
        <f>C9*L68%</f>
        <v>7110</v>
      </c>
      <c r="L68" s="341">
        <v>0.3</v>
      </c>
      <c r="M68" s="341"/>
      <c r="N68" s="263">
        <f>L68*O75</f>
        <v>3.0052047297754242E-3</v>
      </c>
    </row>
    <row r="69" spans="2:15" ht="13.5" customHeight="1" x14ac:dyDescent="0.2">
      <c r="B69" s="516"/>
      <c r="C69" s="516"/>
      <c r="D69" s="516"/>
      <c r="E69" s="516"/>
      <c r="F69" s="516"/>
      <c r="G69" s="516"/>
      <c r="H69" s="516"/>
      <c r="J69" t="s">
        <v>73</v>
      </c>
      <c r="K69" s="13">
        <f>C9*L69%</f>
        <v>11850</v>
      </c>
      <c r="L69" s="341">
        <v>0.5</v>
      </c>
      <c r="M69" s="341"/>
      <c r="N69" s="263">
        <f>L69*O75</f>
        <v>5.0086745496257072E-3</v>
      </c>
    </row>
    <row r="70" spans="2:15" ht="13.5" customHeight="1" x14ac:dyDescent="0.2">
      <c r="B70" s="337"/>
      <c r="C70" s="337"/>
      <c r="D70" s="337"/>
      <c r="E70" s="337"/>
      <c r="F70" s="337"/>
      <c r="G70" s="337"/>
      <c r="H70" s="337"/>
      <c r="J70" t="s">
        <v>147</v>
      </c>
      <c r="K70" s="13">
        <f>C9*L70%</f>
        <v>0</v>
      </c>
      <c r="L70" s="100">
        <v>0</v>
      </c>
      <c r="M70" s="100"/>
      <c r="N70" s="263">
        <f>L70*O75</f>
        <v>0</v>
      </c>
    </row>
    <row r="71" spans="2:15" ht="13.5" customHeight="1" thickBot="1" x14ac:dyDescent="0.25">
      <c r="B71" s="526" t="s">
        <v>284</v>
      </c>
      <c r="C71" s="516"/>
      <c r="D71" s="516"/>
      <c r="E71" s="516"/>
      <c r="F71" s="516"/>
      <c r="G71" s="516"/>
      <c r="H71" s="516"/>
      <c r="J71" s="100" t="s">
        <v>205</v>
      </c>
      <c r="K71" s="13">
        <f>L71%*C9</f>
        <v>0</v>
      </c>
      <c r="L71" s="100">
        <v>0</v>
      </c>
      <c r="M71" s="100"/>
      <c r="N71" s="263">
        <f>L71*O75</f>
        <v>0</v>
      </c>
    </row>
    <row r="72" spans="2:15" ht="24.95" customHeight="1" thickBot="1" x14ac:dyDescent="0.25">
      <c r="B72" s="516"/>
      <c r="C72" s="516"/>
      <c r="D72" s="516"/>
      <c r="E72" s="516"/>
      <c r="F72" s="516"/>
      <c r="G72" s="516"/>
      <c r="H72" s="516"/>
      <c r="J72" s="10" t="s">
        <v>3</v>
      </c>
      <c r="K72" s="11">
        <f>SUM(K65:K71)</f>
        <v>307566.40000000002</v>
      </c>
      <c r="L72" s="15">
        <f>SUM(L65:L71)</f>
        <v>12.97748523206751</v>
      </c>
      <c r="M72" s="389"/>
      <c r="N72" s="273"/>
    </row>
    <row r="73" spans="2:15" ht="13.5" customHeight="1" thickBot="1" x14ac:dyDescent="0.25">
      <c r="B73" s="516"/>
      <c r="C73" s="516"/>
      <c r="D73" s="516"/>
      <c r="E73" s="516"/>
      <c r="F73" s="516"/>
      <c r="G73" s="516"/>
      <c r="H73" s="516"/>
      <c r="J73" s="271"/>
      <c r="K73" s="270"/>
      <c r="L73" s="272"/>
      <c r="N73" s="273"/>
    </row>
    <row r="74" spans="2:15" ht="13.5" customHeight="1" x14ac:dyDescent="0.2">
      <c r="B74" s="516"/>
      <c r="C74" s="486"/>
      <c r="D74" s="486"/>
      <c r="E74" s="486"/>
      <c r="F74" s="486"/>
      <c r="G74" s="486"/>
      <c r="H74" s="486"/>
      <c r="J74" s="16" t="s">
        <v>14</v>
      </c>
      <c r="K74" s="17"/>
      <c r="L74" s="338">
        <f>ROUND(L72/0.5,0)/100*0.5</f>
        <v>0.13</v>
      </c>
      <c r="M74" s="431" t="s">
        <v>292</v>
      </c>
      <c r="N74" s="503" t="s">
        <v>150</v>
      </c>
      <c r="O74" s="503"/>
    </row>
    <row r="75" spans="2:15" ht="13.5" customHeight="1" thickBot="1" x14ac:dyDescent="0.25">
      <c r="B75" s="516" t="s">
        <v>283</v>
      </c>
      <c r="C75" s="516"/>
      <c r="D75" s="516"/>
      <c r="E75" s="516"/>
      <c r="F75" s="516"/>
      <c r="G75" s="516"/>
      <c r="H75" s="516"/>
      <c r="J75" s="18" t="s">
        <v>15</v>
      </c>
      <c r="K75" s="19"/>
      <c r="L75" s="339">
        <f>C9*L74</f>
        <v>308100</v>
      </c>
      <c r="M75" s="381"/>
      <c r="O75" s="214">
        <f>L74/L72</f>
        <v>1.0017349099251414E-2</v>
      </c>
    </row>
    <row r="76" spans="2:15" x14ac:dyDescent="0.2">
      <c r="B76" s="516"/>
      <c r="C76" s="516"/>
      <c r="D76" s="516"/>
      <c r="E76" s="516"/>
      <c r="F76" s="516"/>
      <c r="G76" s="516"/>
      <c r="H76" s="516"/>
      <c r="N76"/>
    </row>
    <row r="77" spans="2:15" x14ac:dyDescent="0.2">
      <c r="B77" s="214"/>
      <c r="C77" s="236"/>
      <c r="D77" s="236"/>
      <c r="E77" s="236"/>
      <c r="F77" s="236"/>
      <c r="G77" s="236"/>
      <c r="H77" s="236"/>
      <c r="N77"/>
    </row>
    <row r="78" spans="2:15" ht="12.75" customHeight="1" x14ac:dyDescent="0.2">
      <c r="B78" s="526" t="s">
        <v>206</v>
      </c>
      <c r="C78" s="526"/>
      <c r="D78" s="526"/>
      <c r="E78" s="526"/>
      <c r="F78" s="526"/>
      <c r="G78" s="526"/>
      <c r="H78" s="526"/>
      <c r="K78" s="36"/>
      <c r="L78" s="64"/>
    </row>
    <row r="79" spans="2:15" ht="13.5" customHeight="1" x14ac:dyDescent="0.2">
      <c r="B79" s="526"/>
      <c r="C79" s="526"/>
      <c r="D79" s="526"/>
      <c r="E79" s="526"/>
      <c r="F79" s="526"/>
      <c r="G79" s="526"/>
      <c r="H79" s="526"/>
    </row>
    <row r="80" spans="2:15" ht="13.5" customHeight="1" x14ac:dyDescent="0.2">
      <c r="B80" s="526"/>
      <c r="C80" s="526"/>
      <c r="D80" s="526"/>
      <c r="E80" s="526"/>
      <c r="F80" s="526"/>
      <c r="G80" s="526"/>
      <c r="H80" s="526"/>
    </row>
    <row r="81" spans="2:13" ht="13.5" customHeight="1" x14ac:dyDescent="0.2">
      <c r="B81" s="526"/>
      <c r="C81" s="526"/>
      <c r="D81" s="526"/>
      <c r="E81" s="526"/>
      <c r="F81" s="526"/>
      <c r="G81" s="526"/>
      <c r="H81" s="526"/>
    </row>
    <row r="82" spans="2:13" ht="13.5" customHeight="1" x14ac:dyDescent="0.2"/>
    <row r="83" spans="2:13" ht="13.5" customHeight="1" x14ac:dyDescent="0.2">
      <c r="B83" s="430" t="s">
        <v>291</v>
      </c>
    </row>
    <row r="84" spans="2:13" ht="13.5" customHeight="1" x14ac:dyDescent="0.2"/>
    <row r="85" spans="2:13" s="240" customFormat="1" ht="30" customHeight="1" x14ac:dyDescent="0.2">
      <c r="B85" s="533" t="s">
        <v>153</v>
      </c>
      <c r="C85" s="534"/>
      <c r="D85" s="534"/>
      <c r="E85" s="534"/>
      <c r="F85" s="534"/>
      <c r="G85" s="534"/>
      <c r="H85" s="534"/>
      <c r="I85" s="534"/>
      <c r="J85" s="534"/>
      <c r="K85" s="534"/>
      <c r="L85" s="535"/>
      <c r="M85"/>
    </row>
    <row r="86" spans="2:13" s="241" customFormat="1" ht="30" customHeight="1" x14ac:dyDescent="0.2">
      <c r="B86" s="527" t="s">
        <v>154</v>
      </c>
      <c r="C86" s="528"/>
      <c r="D86" s="528"/>
      <c r="E86" s="528"/>
      <c r="F86" s="528"/>
      <c r="G86" s="528"/>
      <c r="H86" s="528"/>
      <c r="I86" s="528"/>
      <c r="J86" s="528"/>
      <c r="K86" s="528"/>
      <c r="L86" s="529"/>
      <c r="M86"/>
    </row>
  </sheetData>
  <sheetProtection selectLockedCells="1" selectUnlockedCells="1"/>
  <mergeCells count="30">
    <mergeCell ref="L20:L21"/>
    <mergeCell ref="N20:N21"/>
    <mergeCell ref="O20:O21"/>
    <mergeCell ref="N74:O74"/>
    <mergeCell ref="B78:H81"/>
    <mergeCell ref="B68:H69"/>
    <mergeCell ref="B71:H73"/>
    <mergeCell ref="B75:H76"/>
    <mergeCell ref="N6:O6"/>
    <mergeCell ref="B7:C7"/>
    <mergeCell ref="B8:C8"/>
    <mergeCell ref="B18:E18"/>
    <mergeCell ref="G18:J18"/>
    <mergeCell ref="K18:L18"/>
    <mergeCell ref="B86:L86"/>
    <mergeCell ref="B3:L3"/>
    <mergeCell ref="B4:L4"/>
    <mergeCell ref="B74:H74"/>
    <mergeCell ref="B6:J6"/>
    <mergeCell ref="K6:L7"/>
    <mergeCell ref="B65:H66"/>
    <mergeCell ref="B63:H63"/>
    <mergeCell ref="B85:L85"/>
    <mergeCell ref="B20:B21"/>
    <mergeCell ref="D20:D21"/>
    <mergeCell ref="E20:E21"/>
    <mergeCell ref="G20:G21"/>
    <mergeCell ref="I20:I21"/>
    <mergeCell ref="J20:J21"/>
    <mergeCell ref="K20:K21"/>
  </mergeCells>
  <pageMargins left="0.23622047244094491" right="0.19685039370078741" top="0.74803149606299213" bottom="0.74803149606299213" header="0.31496062992125984" footer="0.31496062992125984"/>
  <pageSetup paperSize="9" firstPageNumber="0" orientation="landscape" cellComments="asDisplayed" horizontalDpi="300" verticalDpi="30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87"/>
  <sheetViews>
    <sheetView topLeftCell="A17" zoomScale="80" zoomScaleNormal="80" workbookViewId="0">
      <selection activeCell="F48" sqref="F48"/>
    </sheetView>
  </sheetViews>
  <sheetFormatPr baseColWidth="10" defaultColWidth="15.140625" defaultRowHeight="12.75" outlineLevelRow="1" x14ac:dyDescent="0.2"/>
  <cols>
    <col min="1" max="1" width="2.42578125" customWidth="1"/>
    <col min="2" max="7" width="14.7109375" customWidth="1"/>
    <col min="8" max="8" width="22.42578125" customWidth="1"/>
    <col min="9" max="9" width="14.7109375" customWidth="1"/>
    <col min="10" max="10" width="20.7109375" customWidth="1"/>
    <col min="11" max="12" width="14.7109375" customWidth="1"/>
    <col min="13" max="13" width="3.5703125" customWidth="1"/>
    <col min="14" max="15" width="22.7109375" customWidth="1"/>
  </cols>
  <sheetData>
    <row r="1" spans="1:15" ht="15" x14ac:dyDescent="0.2">
      <c r="B1" s="80" t="str">
        <f>'Budget global'!B1</f>
        <v>VILLE_Projet de xxxxxxxxxxxxxxxxxxxxxxxxxxxxxxxxxxxxxx</v>
      </c>
      <c r="K1" s="36" t="s">
        <v>90</v>
      </c>
      <c r="L1" s="82" t="str">
        <f>'Budget global'!D1</f>
        <v>XX-XX-XXXX</v>
      </c>
      <c r="M1" s="82"/>
    </row>
    <row r="2" spans="1:15" ht="15" customHeight="1" thickBot="1" x14ac:dyDescent="0.25">
      <c r="B2" s="35"/>
      <c r="C2" s="95"/>
      <c r="D2" s="96"/>
    </row>
    <row r="3" spans="1:15" s="244" customFormat="1" ht="20.100000000000001" customHeight="1" thickBot="1" x14ac:dyDescent="0.25">
      <c r="B3" s="497" t="s">
        <v>119</v>
      </c>
      <c r="C3" s="498"/>
      <c r="D3" s="498"/>
      <c r="E3" s="498"/>
      <c r="F3" s="498"/>
      <c r="G3" s="498"/>
      <c r="H3" s="498"/>
      <c r="I3" s="498"/>
      <c r="J3" s="498"/>
      <c r="K3" s="498"/>
      <c r="L3" s="499"/>
      <c r="M3" s="382"/>
    </row>
    <row r="4" spans="1:15" s="215" customFormat="1" ht="30" customHeight="1" thickBot="1" x14ac:dyDescent="0.25">
      <c r="B4" s="530" t="s">
        <v>250</v>
      </c>
      <c r="C4" s="501"/>
      <c r="D4" s="501"/>
      <c r="E4" s="501"/>
      <c r="F4" s="501"/>
      <c r="G4" s="501"/>
      <c r="H4" s="501"/>
      <c r="I4" s="501"/>
      <c r="J4" s="501"/>
      <c r="K4" s="501"/>
      <c r="L4" s="502"/>
      <c r="M4" s="383"/>
    </row>
    <row r="5" spans="1:15" s="214" customFormat="1" ht="13.5" thickBot="1" x14ac:dyDescent="0.25">
      <c r="B5" s="245"/>
      <c r="C5" s="245"/>
      <c r="D5" s="245"/>
      <c r="E5" s="245"/>
      <c r="F5" s="245"/>
      <c r="G5" s="245"/>
      <c r="H5" s="245"/>
      <c r="I5" s="245"/>
      <c r="J5" s="245"/>
      <c r="K5" s="245"/>
      <c r="N5" s="100"/>
    </row>
    <row r="6" spans="1:15" s="214" customFormat="1" ht="12.75" customHeight="1" thickBot="1" x14ac:dyDescent="0.25">
      <c r="B6" s="508" t="s">
        <v>0</v>
      </c>
      <c r="C6" s="508"/>
      <c r="D6" s="508"/>
      <c r="E6" s="508"/>
      <c r="F6" s="508"/>
      <c r="G6" s="508"/>
      <c r="H6" s="508"/>
      <c r="I6" s="508"/>
      <c r="J6" s="508"/>
      <c r="K6" s="509" t="s">
        <v>46</v>
      </c>
      <c r="L6" s="509"/>
      <c r="M6" s="384"/>
      <c r="N6" s="503" t="s">
        <v>149</v>
      </c>
      <c r="O6" s="503"/>
    </row>
    <row r="7" spans="1:15" s="214" customFormat="1" ht="26.25" thickBot="1" x14ac:dyDescent="0.25">
      <c r="B7" s="504" t="s">
        <v>1</v>
      </c>
      <c r="C7" s="504"/>
      <c r="D7" s="247" t="s">
        <v>125</v>
      </c>
      <c r="E7" s="247" t="s">
        <v>126</v>
      </c>
      <c r="F7" s="247" t="s">
        <v>127</v>
      </c>
      <c r="G7" s="248" t="s">
        <v>128</v>
      </c>
      <c r="H7" s="247" t="s">
        <v>129</v>
      </c>
      <c r="I7" s="249" t="s">
        <v>2</v>
      </c>
      <c r="J7" s="250" t="s">
        <v>3</v>
      </c>
      <c r="K7" s="509"/>
      <c r="L7" s="509"/>
      <c r="M7" s="385"/>
    </row>
    <row r="8" spans="1:15" s="214" customFormat="1" ht="12.75" customHeight="1" thickBot="1" x14ac:dyDescent="0.25">
      <c r="A8" s="246"/>
      <c r="B8" s="507" t="s">
        <v>4</v>
      </c>
      <c r="C8" s="507"/>
      <c r="D8" s="251">
        <v>0.12</v>
      </c>
      <c r="E8" s="252">
        <v>0.11</v>
      </c>
      <c r="F8" s="253">
        <v>0.1</v>
      </c>
      <c r="G8" s="252">
        <v>0.09</v>
      </c>
      <c r="H8" s="252">
        <v>8.5000000000000006E-2</v>
      </c>
      <c r="I8" s="253">
        <v>0.08</v>
      </c>
      <c r="J8" s="254"/>
      <c r="K8" s="268"/>
      <c r="L8" s="256" t="s">
        <v>5</v>
      </c>
      <c r="M8" s="386"/>
    </row>
    <row r="9" spans="1:15" s="214" customFormat="1" ht="13.5" thickBot="1" x14ac:dyDescent="0.25">
      <c r="A9" s="238"/>
      <c r="B9" s="257" t="s">
        <v>6</v>
      </c>
      <c r="C9" s="267">
        <f>'Budget global'!G68</f>
        <v>2370000</v>
      </c>
      <c r="D9" s="258">
        <f>IF($C9&gt;$B$12,$B$12*$D$8,$C9*$D$8)</f>
        <v>26400</v>
      </c>
      <c r="E9" s="259">
        <f>IF($C9&gt;$B$13,($B$13-$B$12)*$E$8,IF($C9&gt;$B$12,($C9-$B$12)*$E$8,0))</f>
        <v>58300</v>
      </c>
      <c r="F9" s="259">
        <f>IF($C9&gt;$B$14,($B$14-$B$13)*$F$8,IF($C9&gt;$B$13,($C9-$B$13)*$F$8,0))</f>
        <v>115000</v>
      </c>
      <c r="G9" s="259">
        <f>IF($C9&gt;$B$15,($B$15-$B$14)*$G$8,IF($C9&gt;$B$14,($C9-$B$14)*$G$8,0))</f>
        <v>42300</v>
      </c>
      <c r="H9" s="259">
        <f>IF($C9&gt;$B$16,($B$16-$B$15)*$H$8,IF($C9&gt;$B$15,($C9-$B$15)*$H$8,0))</f>
        <v>0</v>
      </c>
      <c r="I9" s="259">
        <f>IF($C9&gt;$B$16,($C9-$B$16)*$I$8,0)</f>
        <v>0</v>
      </c>
      <c r="J9" s="260">
        <f>SUM(D9:I9)</f>
        <v>242000</v>
      </c>
      <c r="K9" s="269">
        <f>(C9*L9)/100</f>
        <v>241999.99999999997</v>
      </c>
      <c r="L9" s="262">
        <f>(J9/C9)*100</f>
        <v>10.21097046413502</v>
      </c>
      <c r="M9" s="264"/>
      <c r="N9" s="263">
        <f>L9*O75</f>
        <v>0.10346157723602574</v>
      </c>
    </row>
    <row r="10" spans="1:15" s="214" customFormat="1" x14ac:dyDescent="0.2">
      <c r="A10" s="238"/>
      <c r="C10" s="214" t="s">
        <v>145</v>
      </c>
      <c r="J10" s="100" t="s">
        <v>203</v>
      </c>
      <c r="K10" s="340">
        <v>0</v>
      </c>
      <c r="L10" s="341">
        <f>K10/C9*100</f>
        <v>0</v>
      </c>
      <c r="M10" s="341"/>
      <c r="N10" s="263">
        <f>L10*O75</f>
        <v>0</v>
      </c>
    </row>
    <row r="11" spans="1:15" s="214" customFormat="1" x14ac:dyDescent="0.2">
      <c r="A11" s="238"/>
      <c r="J11" s="319" t="s">
        <v>204</v>
      </c>
      <c r="K11" s="340">
        <v>0</v>
      </c>
      <c r="L11" s="341">
        <v>0</v>
      </c>
      <c r="M11" s="341"/>
      <c r="N11" s="263">
        <f>L11*O75</f>
        <v>0</v>
      </c>
    </row>
    <row r="12" spans="1:15" s="214" customFormat="1" hidden="1" outlineLevel="1" x14ac:dyDescent="0.2">
      <c r="A12" s="238"/>
      <c r="B12" s="214">
        <v>220000</v>
      </c>
      <c r="C12" s="264"/>
      <c r="F12" s="264"/>
      <c r="G12" s="264"/>
    </row>
    <row r="13" spans="1:15" s="214" customFormat="1" hidden="1" outlineLevel="1" x14ac:dyDescent="0.2">
      <c r="A13" s="238"/>
      <c r="B13" s="214">
        <v>750000</v>
      </c>
    </row>
    <row r="14" spans="1:15" s="214" customFormat="1" hidden="1" outlineLevel="1" x14ac:dyDescent="0.2">
      <c r="A14" s="238"/>
      <c r="B14" s="214">
        <v>1900000</v>
      </c>
    </row>
    <row r="15" spans="1:15" s="214" customFormat="1" hidden="1" outlineLevel="1" x14ac:dyDescent="0.2">
      <c r="A15" s="238"/>
      <c r="B15" s="214">
        <v>7500000</v>
      </c>
    </row>
    <row r="16" spans="1:15" s="214" customFormat="1" hidden="1" outlineLevel="1" x14ac:dyDescent="0.2">
      <c r="A16" s="238"/>
      <c r="B16" s="214">
        <v>22600000</v>
      </c>
    </row>
    <row r="17" spans="1:15" s="214" customFormat="1" ht="13.5" collapsed="1" thickBot="1" x14ac:dyDescent="0.25">
      <c r="A17" s="238"/>
      <c r="M17"/>
    </row>
    <row r="18" spans="1:15" ht="13.5" thickBot="1" x14ac:dyDescent="0.25">
      <c r="A18" s="1"/>
      <c r="B18" s="505" t="s">
        <v>70</v>
      </c>
      <c r="C18" s="505"/>
      <c r="D18" s="505"/>
      <c r="E18" s="505"/>
      <c r="G18" s="505" t="s">
        <v>71</v>
      </c>
      <c r="H18" s="505"/>
      <c r="I18" s="505"/>
      <c r="J18" s="505"/>
      <c r="K18" s="506" t="s">
        <v>3</v>
      </c>
      <c r="L18" s="506"/>
      <c r="M18" s="387"/>
      <c r="N18" s="214"/>
      <c r="O18" s="214"/>
    </row>
    <row r="19" spans="1:15" ht="26.25" thickBot="1" x14ac:dyDescent="0.25">
      <c r="A19" s="1"/>
      <c r="B19" s="31" t="s">
        <v>50</v>
      </c>
      <c r="C19" s="20" t="s">
        <v>279</v>
      </c>
      <c r="D19" s="20" t="s">
        <v>8</v>
      </c>
      <c r="E19" s="21" t="s">
        <v>9</v>
      </c>
      <c r="F19" s="22"/>
      <c r="G19" s="31" t="s">
        <v>50</v>
      </c>
      <c r="H19" s="59" t="s">
        <v>279</v>
      </c>
      <c r="I19" s="21" t="s">
        <v>8</v>
      </c>
      <c r="J19" s="21" t="s">
        <v>9</v>
      </c>
      <c r="K19" s="23" t="s">
        <v>17</v>
      </c>
      <c r="L19" s="24" t="s">
        <v>5</v>
      </c>
      <c r="N19" s="274" t="s">
        <v>21</v>
      </c>
      <c r="O19" s="274" t="s">
        <v>22</v>
      </c>
    </row>
    <row r="20" spans="1:15" ht="13.5" thickBot="1" x14ac:dyDescent="0.25">
      <c r="A20" s="1"/>
      <c r="B20" s="510">
        <f>C9</f>
        <v>2370000</v>
      </c>
      <c r="C20" s="425">
        <v>0.15</v>
      </c>
      <c r="D20" s="512">
        <f>VLOOKUP(C21,B24:C62,2,TRUE)</f>
        <v>13.59</v>
      </c>
      <c r="E20" s="522">
        <f>(C21*D20)/100</f>
        <v>48312.45</v>
      </c>
      <c r="G20" s="510">
        <f>C9</f>
        <v>2370000</v>
      </c>
      <c r="H20" s="425">
        <v>0.2</v>
      </c>
      <c r="I20" s="512">
        <f>VLOOKUP(H21,G24:H62,2,TRUE)</f>
        <v>12.24</v>
      </c>
      <c r="J20" s="522">
        <f>(H21*I20)/100</f>
        <v>58017.599999999999</v>
      </c>
      <c r="K20" s="518">
        <f>J20+E20</f>
        <v>106330.04999999999</v>
      </c>
      <c r="L20" s="524">
        <f>(K20/C9)*100</f>
        <v>4.4864999999999995</v>
      </c>
      <c r="M20" s="14"/>
      <c r="N20" s="517">
        <f>D22*O75*100</f>
        <v>2.0654885442713357E-2</v>
      </c>
      <c r="O20" s="517">
        <f>I22*O75*100</f>
        <v>2.4804100840697715E-2</v>
      </c>
    </row>
    <row r="21" spans="1:15" ht="13.5" thickBot="1" x14ac:dyDescent="0.25">
      <c r="A21" s="1"/>
      <c r="B21" s="511"/>
      <c r="C21" s="3">
        <f>B20*C20</f>
        <v>355500</v>
      </c>
      <c r="D21" s="513"/>
      <c r="E21" s="523"/>
      <c r="G21" s="511"/>
      <c r="H21" s="3">
        <f>G20*H20</f>
        <v>474000</v>
      </c>
      <c r="I21" s="513"/>
      <c r="J21" s="523"/>
      <c r="K21" s="519"/>
      <c r="L21" s="525"/>
      <c r="M21" s="14"/>
      <c r="N21" s="517"/>
      <c r="O21" s="517"/>
    </row>
    <row r="22" spans="1:15" x14ac:dyDescent="0.2">
      <c r="A22" s="1"/>
      <c r="B22" s="26"/>
      <c r="C22" s="13" t="s">
        <v>20</v>
      </c>
      <c r="D22" s="28">
        <f>E20/C9</f>
        <v>2.0385E-2</v>
      </c>
      <c r="E22" s="13"/>
      <c r="G22" s="26"/>
      <c r="H22" s="13" t="s">
        <v>20</v>
      </c>
      <c r="I22" s="28">
        <f>J20/C9</f>
        <v>2.4479999999999998E-2</v>
      </c>
      <c r="J22" s="13"/>
      <c r="K22" s="27"/>
      <c r="L22" s="14"/>
      <c r="M22" s="14"/>
      <c r="N22" s="214"/>
      <c r="O22" s="214"/>
    </row>
    <row r="23" spans="1:15" x14ac:dyDescent="0.2">
      <c r="A23" s="1"/>
      <c r="N23" s="214"/>
      <c r="O23" s="214"/>
    </row>
    <row r="24" spans="1:15" ht="13.5" hidden="1" outlineLevel="1" thickBot="1" x14ac:dyDescent="0.25">
      <c r="A24" s="1"/>
      <c r="B24" s="5" t="s">
        <v>10</v>
      </c>
      <c r="C24" s="6" t="s">
        <v>16</v>
      </c>
      <c r="G24" s="5" t="s">
        <v>10</v>
      </c>
      <c r="H24" s="6" t="s">
        <v>11</v>
      </c>
      <c r="N24" s="214"/>
      <c r="O24" s="214"/>
    </row>
    <row r="25" spans="1:15" hidden="1" outlineLevel="1" x14ac:dyDescent="0.2">
      <c r="A25" s="1"/>
      <c r="B25" s="29">
        <v>0</v>
      </c>
      <c r="C25" s="2">
        <v>16.21</v>
      </c>
      <c r="G25" s="30">
        <v>0</v>
      </c>
      <c r="H25" s="2">
        <v>15.13</v>
      </c>
      <c r="N25" s="214"/>
      <c r="O25" s="214"/>
    </row>
    <row r="26" spans="1:15" hidden="1" outlineLevel="1" x14ac:dyDescent="0.2">
      <c r="A26" s="1"/>
      <c r="B26" s="7">
        <v>100000</v>
      </c>
      <c r="C26" s="2">
        <v>16.21</v>
      </c>
      <c r="G26" s="8">
        <v>100000</v>
      </c>
      <c r="H26" s="2">
        <v>15.13</v>
      </c>
      <c r="N26" s="214"/>
      <c r="O26" s="214"/>
    </row>
    <row r="27" spans="1:15" hidden="1" outlineLevel="1" x14ac:dyDescent="0.2">
      <c r="A27" s="1"/>
      <c r="B27" s="8">
        <v>125000</v>
      </c>
      <c r="C27" s="2">
        <v>15.71</v>
      </c>
      <c r="G27" s="8">
        <v>125000</v>
      </c>
      <c r="H27" s="2">
        <v>14.66</v>
      </c>
      <c r="N27" s="214"/>
      <c r="O27" s="214"/>
    </row>
    <row r="28" spans="1:15" hidden="1" outlineLevel="1" x14ac:dyDescent="0.2">
      <c r="A28" s="1"/>
      <c r="B28" s="8">
        <v>150000</v>
      </c>
      <c r="C28" s="2">
        <v>15.31</v>
      </c>
      <c r="G28" s="8">
        <v>150000</v>
      </c>
      <c r="H28" s="2">
        <v>14.29</v>
      </c>
      <c r="N28" s="214"/>
      <c r="O28" s="214"/>
    </row>
    <row r="29" spans="1:15" hidden="1" outlineLevel="1" x14ac:dyDescent="0.2">
      <c r="A29" s="1"/>
      <c r="B29" s="8">
        <v>175000</v>
      </c>
      <c r="C29" s="2">
        <v>14.98</v>
      </c>
      <c r="G29" s="8">
        <v>175000</v>
      </c>
      <c r="H29" s="2">
        <v>13.98</v>
      </c>
      <c r="N29" s="214"/>
      <c r="O29" s="214"/>
    </row>
    <row r="30" spans="1:15" hidden="1" outlineLevel="1" x14ac:dyDescent="0.2">
      <c r="A30" s="1"/>
      <c r="B30" s="8">
        <v>200000</v>
      </c>
      <c r="C30" s="2">
        <v>14.7</v>
      </c>
      <c r="G30" s="8">
        <v>200000</v>
      </c>
      <c r="H30" s="2">
        <v>13.72</v>
      </c>
      <c r="N30" s="214"/>
      <c r="O30" s="214"/>
    </row>
    <row r="31" spans="1:15" hidden="1" outlineLevel="1" x14ac:dyDescent="0.2">
      <c r="A31" s="1"/>
      <c r="B31" s="8">
        <v>225000</v>
      </c>
      <c r="C31" s="2">
        <v>14.46</v>
      </c>
      <c r="G31" s="8">
        <v>225000</v>
      </c>
      <c r="H31" s="2">
        <v>13.5</v>
      </c>
      <c r="N31" s="214"/>
      <c r="O31" s="214"/>
    </row>
    <row r="32" spans="1:15" hidden="1" outlineLevel="1" x14ac:dyDescent="0.2">
      <c r="A32" s="1"/>
      <c r="B32" s="8">
        <v>250000</v>
      </c>
      <c r="C32" s="2">
        <v>14.25</v>
      </c>
      <c r="G32" s="8">
        <v>250000</v>
      </c>
      <c r="H32" s="2">
        <v>13.3</v>
      </c>
      <c r="N32" s="214"/>
      <c r="O32" s="214"/>
    </row>
    <row r="33" spans="1:15" hidden="1" outlineLevel="1" x14ac:dyDescent="0.2">
      <c r="A33" s="1"/>
      <c r="B33" s="8">
        <v>300000</v>
      </c>
      <c r="C33" s="2">
        <v>13.89</v>
      </c>
      <c r="G33" s="8">
        <v>300000</v>
      </c>
      <c r="H33" s="2">
        <v>12.96</v>
      </c>
      <c r="N33" s="214"/>
      <c r="O33" s="214"/>
    </row>
    <row r="34" spans="1:15" hidden="1" outlineLevel="1" x14ac:dyDescent="0.2">
      <c r="A34" s="1"/>
      <c r="B34" s="8">
        <v>350000</v>
      </c>
      <c r="C34" s="2">
        <v>13.59</v>
      </c>
      <c r="G34" s="8">
        <v>350000</v>
      </c>
      <c r="H34" s="2">
        <v>12.68</v>
      </c>
      <c r="N34" s="214"/>
      <c r="O34" s="214"/>
    </row>
    <row r="35" spans="1:15" hidden="1" outlineLevel="1" x14ac:dyDescent="0.2">
      <c r="A35" s="1"/>
      <c r="B35" s="8">
        <v>400000</v>
      </c>
      <c r="C35" s="2">
        <v>13.34</v>
      </c>
      <c r="G35" s="8">
        <v>400000</v>
      </c>
      <c r="H35" s="2">
        <v>12.45</v>
      </c>
      <c r="N35" s="214"/>
      <c r="O35" s="214"/>
    </row>
    <row r="36" spans="1:15" hidden="1" outlineLevel="1" x14ac:dyDescent="0.2">
      <c r="A36" s="1"/>
      <c r="B36" s="8">
        <v>450000</v>
      </c>
      <c r="C36" s="2">
        <v>13.12</v>
      </c>
      <c r="G36" s="8">
        <v>450000</v>
      </c>
      <c r="H36" s="2">
        <v>12.24</v>
      </c>
      <c r="N36" s="214"/>
      <c r="O36" s="214"/>
    </row>
    <row r="37" spans="1:15" hidden="1" outlineLevel="1" x14ac:dyDescent="0.2">
      <c r="A37" s="1"/>
      <c r="B37" s="8">
        <v>500000</v>
      </c>
      <c r="C37" s="2">
        <v>12.92</v>
      </c>
      <c r="G37" s="8">
        <v>500000</v>
      </c>
      <c r="H37" s="2">
        <v>12.06</v>
      </c>
      <c r="N37" s="214"/>
      <c r="O37" s="214"/>
    </row>
    <row r="38" spans="1:15" hidden="1" outlineLevel="1" x14ac:dyDescent="0.2">
      <c r="A38" s="1"/>
      <c r="B38" s="8">
        <v>600000</v>
      </c>
      <c r="C38" s="2">
        <v>12.6</v>
      </c>
      <c r="G38" s="8">
        <v>600000</v>
      </c>
      <c r="H38" s="2">
        <v>11.76</v>
      </c>
      <c r="N38" s="214"/>
      <c r="O38" s="214"/>
    </row>
    <row r="39" spans="1:15" hidden="1" outlineLevel="1" x14ac:dyDescent="0.2">
      <c r="A39" s="1"/>
      <c r="B39" s="8">
        <v>700000</v>
      </c>
      <c r="C39" s="2">
        <v>12.33</v>
      </c>
      <c r="G39" s="8">
        <v>700000</v>
      </c>
      <c r="H39" s="2">
        <v>11.51</v>
      </c>
      <c r="N39" s="214"/>
      <c r="O39" s="214"/>
    </row>
    <row r="40" spans="1:15" hidden="1" outlineLevel="1" x14ac:dyDescent="0.2">
      <c r="A40" s="1"/>
      <c r="B40" s="8">
        <v>800000</v>
      </c>
      <c r="C40" s="2">
        <v>12.1</v>
      </c>
      <c r="G40" s="8">
        <v>800000</v>
      </c>
      <c r="H40" s="2">
        <v>11.29</v>
      </c>
      <c r="N40" s="214"/>
      <c r="O40" s="214"/>
    </row>
    <row r="41" spans="1:15" hidden="1" outlineLevel="1" x14ac:dyDescent="0.2">
      <c r="A41" s="1"/>
      <c r="B41" s="8">
        <v>900000</v>
      </c>
      <c r="C41" s="2">
        <v>11.9</v>
      </c>
      <c r="G41" s="8">
        <v>900000</v>
      </c>
      <c r="H41" s="2">
        <v>11.11</v>
      </c>
      <c r="N41" s="214"/>
      <c r="O41" s="214"/>
    </row>
    <row r="42" spans="1:15" hidden="1" outlineLevel="1" x14ac:dyDescent="0.2">
      <c r="A42" s="1"/>
      <c r="B42" s="8">
        <v>1000000</v>
      </c>
      <c r="C42" s="2">
        <v>11.72</v>
      </c>
      <c r="G42" s="8">
        <v>1000000</v>
      </c>
      <c r="H42" s="2">
        <v>10.94</v>
      </c>
      <c r="N42" s="214"/>
      <c r="O42" s="214"/>
    </row>
    <row r="43" spans="1:15" hidden="1" outlineLevel="1" x14ac:dyDescent="0.2">
      <c r="A43" s="1"/>
      <c r="B43" s="8">
        <v>1250000</v>
      </c>
      <c r="C43" s="2">
        <v>11.36</v>
      </c>
      <c r="G43" s="8">
        <v>1250000</v>
      </c>
      <c r="H43" s="2">
        <v>10.6</v>
      </c>
      <c r="N43" s="214"/>
      <c r="O43" s="214"/>
    </row>
    <row r="44" spans="1:15" hidden="1" outlineLevel="1" x14ac:dyDescent="0.2">
      <c r="A44" s="1"/>
      <c r="B44" s="8">
        <v>1500000</v>
      </c>
      <c r="C44" s="2">
        <v>11.07</v>
      </c>
      <c r="G44" s="8">
        <v>1500000</v>
      </c>
      <c r="H44" s="2">
        <v>10.34</v>
      </c>
      <c r="N44" s="214"/>
      <c r="O44" s="214"/>
    </row>
    <row r="45" spans="1:15" hidden="1" outlineLevel="1" x14ac:dyDescent="0.2">
      <c r="A45" s="1"/>
      <c r="B45" s="8">
        <v>1750000</v>
      </c>
      <c r="C45" s="2">
        <v>10.84</v>
      </c>
      <c r="G45" s="8">
        <v>1750000</v>
      </c>
      <c r="H45" s="2">
        <v>10.11</v>
      </c>
      <c r="N45" s="214"/>
      <c r="O45" s="214"/>
    </row>
    <row r="46" spans="1:15" hidden="1" outlineLevel="1" x14ac:dyDescent="0.2">
      <c r="A46" s="1"/>
      <c r="B46" s="8">
        <v>2000000</v>
      </c>
      <c r="C46" s="2">
        <v>10.63</v>
      </c>
      <c r="G46" s="8">
        <v>2000000</v>
      </c>
      <c r="H46" s="2">
        <v>9.93</v>
      </c>
      <c r="N46" s="214"/>
      <c r="O46" s="214"/>
    </row>
    <row r="47" spans="1:15" hidden="1" outlineLevel="1" x14ac:dyDescent="0.2">
      <c r="B47" s="8">
        <v>2250000</v>
      </c>
      <c r="C47" s="2">
        <v>10.46</v>
      </c>
      <c r="G47" s="8">
        <v>2250000</v>
      </c>
      <c r="H47" s="2">
        <v>9.76</v>
      </c>
      <c r="N47" s="214"/>
      <c r="O47" s="214"/>
    </row>
    <row r="48" spans="1:15" hidden="1" outlineLevel="1" x14ac:dyDescent="0.2">
      <c r="B48" s="8">
        <v>2500000</v>
      </c>
      <c r="C48" s="2">
        <v>10.31</v>
      </c>
      <c r="G48" s="8">
        <v>2500000</v>
      </c>
      <c r="H48" s="2">
        <v>9.6199999999999992</v>
      </c>
      <c r="N48" s="214"/>
      <c r="O48" s="214"/>
    </row>
    <row r="49" spans="1:16" hidden="1" outlineLevel="1" x14ac:dyDescent="0.2">
      <c r="A49" s="48"/>
      <c r="B49" s="8">
        <v>3000000</v>
      </c>
      <c r="C49" s="2">
        <v>10.039999999999999</v>
      </c>
      <c r="G49" s="8">
        <v>3000000</v>
      </c>
      <c r="H49" s="2">
        <v>9.3800000000000008</v>
      </c>
      <c r="N49" s="214"/>
      <c r="O49" s="214"/>
    </row>
    <row r="50" spans="1:16" hidden="1" outlineLevel="1" x14ac:dyDescent="0.2">
      <c r="B50" s="8">
        <v>3500000</v>
      </c>
      <c r="C50" s="2">
        <v>9.83</v>
      </c>
      <c r="G50" s="8">
        <v>3500000</v>
      </c>
      <c r="H50" s="2">
        <v>9.18</v>
      </c>
      <c r="N50" s="214"/>
      <c r="O50" s="214"/>
    </row>
    <row r="51" spans="1:16" hidden="1" outlineLevel="1" x14ac:dyDescent="0.2">
      <c r="B51" s="8">
        <v>4000000</v>
      </c>
      <c r="C51" s="2">
        <v>9.65</v>
      </c>
      <c r="G51" s="8">
        <v>4000000</v>
      </c>
      <c r="H51" s="2">
        <v>9</v>
      </c>
      <c r="N51" s="214"/>
      <c r="O51" s="214"/>
    </row>
    <row r="52" spans="1:16" hidden="1" outlineLevel="1" x14ac:dyDescent="0.2">
      <c r="B52" s="8">
        <v>5000000</v>
      </c>
      <c r="C52" s="2">
        <v>9.35</v>
      </c>
      <c r="G52" s="8">
        <v>5000000</v>
      </c>
      <c r="H52" s="2">
        <v>8.73</v>
      </c>
      <c r="N52" s="214"/>
      <c r="O52" s="214"/>
    </row>
    <row r="53" spans="1:16" hidden="1" outlineLevel="1" x14ac:dyDescent="0.2">
      <c r="B53" s="8">
        <v>6000000</v>
      </c>
      <c r="C53" s="2">
        <v>9.11</v>
      </c>
      <c r="G53" s="8">
        <v>6000000</v>
      </c>
      <c r="H53" s="2">
        <v>8.51</v>
      </c>
      <c r="N53" s="214"/>
      <c r="O53" s="214"/>
    </row>
    <row r="54" spans="1:16" hidden="1" outlineLevel="1" x14ac:dyDescent="0.2">
      <c r="B54" s="8">
        <v>7000000</v>
      </c>
      <c r="C54" s="2">
        <v>8.92</v>
      </c>
      <c r="G54" s="8">
        <v>7000000</v>
      </c>
      <c r="H54" s="2">
        <v>8.32</v>
      </c>
      <c r="N54" s="214"/>
      <c r="O54" s="214"/>
    </row>
    <row r="55" spans="1:16" hidden="1" outlineLevel="1" x14ac:dyDescent="0.2">
      <c r="B55" s="8">
        <v>8000000</v>
      </c>
      <c r="C55" s="2">
        <v>8.75</v>
      </c>
      <c r="G55" s="8">
        <v>8000000</v>
      </c>
      <c r="H55" s="2">
        <v>8.17</v>
      </c>
      <c r="N55" s="214"/>
      <c r="O55" s="214"/>
    </row>
    <row r="56" spans="1:16" hidden="1" outlineLevel="1" x14ac:dyDescent="0.2">
      <c r="B56" s="8">
        <v>9000000</v>
      </c>
      <c r="C56" s="2">
        <v>8.61</v>
      </c>
      <c r="G56" s="8">
        <v>9000000</v>
      </c>
      <c r="H56" s="2">
        <v>8.0299999999999994</v>
      </c>
      <c r="N56" s="214"/>
      <c r="O56" s="214"/>
    </row>
    <row r="57" spans="1:16" hidden="1" outlineLevel="1" x14ac:dyDescent="0.2">
      <c r="A57" s="49"/>
      <c r="B57" s="8">
        <v>10000000</v>
      </c>
      <c r="C57" s="2">
        <v>8.48</v>
      </c>
      <c r="G57" s="8">
        <v>10000000</v>
      </c>
      <c r="H57" s="2">
        <v>7.92</v>
      </c>
      <c r="N57" s="214"/>
      <c r="O57" s="214"/>
    </row>
    <row r="58" spans="1:16" hidden="1" outlineLevel="1" x14ac:dyDescent="0.2">
      <c r="B58" s="8">
        <v>11000000</v>
      </c>
      <c r="C58" s="2">
        <v>8.3699999999999992</v>
      </c>
      <c r="G58" s="8">
        <v>11000000</v>
      </c>
      <c r="H58" s="2">
        <v>7.81</v>
      </c>
      <c r="N58" s="214"/>
      <c r="O58" s="214"/>
    </row>
    <row r="59" spans="1:16" hidden="1" outlineLevel="1" x14ac:dyDescent="0.2">
      <c r="B59" s="8">
        <v>12000000</v>
      </c>
      <c r="C59" s="2">
        <v>8.26</v>
      </c>
      <c r="G59" s="8">
        <v>12000000</v>
      </c>
      <c r="H59" s="2">
        <v>7.72</v>
      </c>
      <c r="N59" s="214"/>
      <c r="O59" s="214"/>
    </row>
    <row r="60" spans="1:16" hidden="1" outlineLevel="1" x14ac:dyDescent="0.2">
      <c r="B60" s="8">
        <v>13000000</v>
      </c>
      <c r="C60" s="2">
        <v>8.17</v>
      </c>
      <c r="G60" s="8">
        <v>13000000</v>
      </c>
      <c r="H60" s="2">
        <v>7.63</v>
      </c>
      <c r="N60" s="214"/>
      <c r="O60" s="214"/>
    </row>
    <row r="61" spans="1:16" hidden="1" outlineLevel="1" x14ac:dyDescent="0.2">
      <c r="B61" s="8">
        <v>14000000</v>
      </c>
      <c r="C61" s="2">
        <v>8.09</v>
      </c>
      <c r="G61" s="8">
        <v>14000000</v>
      </c>
      <c r="H61" s="2">
        <v>7.55</v>
      </c>
      <c r="N61" s="214"/>
      <c r="O61" s="214"/>
    </row>
    <row r="62" spans="1:16" ht="13.5" hidden="1" outlineLevel="1" thickBot="1" x14ac:dyDescent="0.25">
      <c r="B62" s="3">
        <v>15000000</v>
      </c>
      <c r="C62" s="9">
        <v>8.01</v>
      </c>
      <c r="G62" s="3">
        <v>15000000</v>
      </c>
      <c r="H62" s="9">
        <v>7.48</v>
      </c>
      <c r="N62" s="214"/>
      <c r="O62" s="214"/>
    </row>
    <row r="63" spans="1:16" ht="80.099999999999994" customHeight="1" collapsed="1" x14ac:dyDescent="0.2">
      <c r="B63" s="496" t="s">
        <v>151</v>
      </c>
      <c r="C63" s="496"/>
      <c r="D63" s="496"/>
      <c r="E63" s="496"/>
      <c r="F63" s="496"/>
      <c r="G63" s="496"/>
      <c r="H63" s="496"/>
      <c r="N63" s="214"/>
      <c r="O63" s="214"/>
      <c r="P63" s="40"/>
    </row>
    <row r="64" spans="1:16" ht="13.5" customHeight="1" thickBot="1" x14ac:dyDescent="0.25">
      <c r="B64" s="426"/>
      <c r="C64" s="214"/>
      <c r="D64" s="214"/>
      <c r="E64" s="214"/>
      <c r="F64" s="214"/>
      <c r="G64" s="426"/>
      <c r="H64" s="214"/>
      <c r="N64" s="214"/>
      <c r="O64" s="214"/>
    </row>
    <row r="65" spans="2:15" ht="13.5" customHeight="1" thickBot="1" x14ac:dyDescent="0.25">
      <c r="B65" s="495" t="s">
        <v>280</v>
      </c>
      <c r="C65" s="495"/>
      <c r="D65" s="495"/>
      <c r="E65" s="495"/>
      <c r="F65" s="495"/>
      <c r="G65" s="495"/>
      <c r="H65" s="495"/>
      <c r="J65" s="10" t="s">
        <v>12</v>
      </c>
      <c r="K65" s="11">
        <f>K9+K20</f>
        <v>348330.04999999993</v>
      </c>
      <c r="L65" s="12">
        <f>L9+L10+L11+L20</f>
        <v>14.697470464135019</v>
      </c>
      <c r="M65" s="388"/>
      <c r="N65" s="263">
        <f>L65*O75</f>
        <v>0.1489205635194368</v>
      </c>
      <c r="O65" s="214"/>
    </row>
    <row r="66" spans="2:15" ht="13.5" customHeight="1" x14ac:dyDescent="0.2">
      <c r="B66" s="495"/>
      <c r="C66" s="495"/>
      <c r="D66" s="495"/>
      <c r="E66" s="495"/>
      <c r="F66" s="495"/>
      <c r="G66" s="495"/>
      <c r="H66" s="495"/>
      <c r="J66" t="s">
        <v>69</v>
      </c>
      <c r="K66" t="s">
        <v>23</v>
      </c>
      <c r="L66" t="s">
        <v>23</v>
      </c>
      <c r="N66" s="214"/>
      <c r="O66" s="214"/>
    </row>
    <row r="67" spans="2:15" ht="13.5" customHeight="1" x14ac:dyDescent="0.2">
      <c r="B67" s="337"/>
      <c r="C67" s="337"/>
      <c r="D67" s="337"/>
      <c r="E67" s="337"/>
      <c r="F67" s="337"/>
      <c r="G67" s="337"/>
      <c r="H67" s="337"/>
      <c r="J67" t="s">
        <v>72</v>
      </c>
      <c r="K67" t="s">
        <v>23</v>
      </c>
      <c r="L67" t="s">
        <v>23</v>
      </c>
      <c r="N67" s="263"/>
      <c r="O67" s="214"/>
    </row>
    <row r="68" spans="2:15" ht="13.5" customHeight="1" x14ac:dyDescent="0.2">
      <c r="B68" s="516" t="s">
        <v>281</v>
      </c>
      <c r="C68" s="516"/>
      <c r="D68" s="516"/>
      <c r="E68" s="516"/>
      <c r="F68" s="516"/>
      <c r="G68" s="516"/>
      <c r="H68" s="516"/>
      <c r="J68" t="s">
        <v>13</v>
      </c>
      <c r="K68" s="13">
        <f>C9*L68%</f>
        <v>7110</v>
      </c>
      <c r="L68" s="341">
        <v>0.3</v>
      </c>
      <c r="M68" s="341"/>
      <c r="N68" s="263">
        <f>L68*O75</f>
        <v>3.0397182402815831E-3</v>
      </c>
      <c r="O68" s="214"/>
    </row>
    <row r="69" spans="2:15" ht="13.5" customHeight="1" x14ac:dyDescent="0.2">
      <c r="B69" s="516"/>
      <c r="C69" s="516"/>
      <c r="D69" s="516"/>
      <c r="E69" s="516"/>
      <c r="F69" s="516"/>
      <c r="G69" s="516"/>
      <c r="H69" s="516"/>
      <c r="J69" t="s">
        <v>73</v>
      </c>
      <c r="K69" s="13">
        <f>C9*L69%</f>
        <v>7110</v>
      </c>
      <c r="L69" s="341">
        <v>0.3</v>
      </c>
      <c r="M69" s="341"/>
      <c r="N69" s="263">
        <f>L69*O75</f>
        <v>3.0397182402815831E-3</v>
      </c>
      <c r="O69" s="214"/>
    </row>
    <row r="70" spans="2:15" ht="13.5" customHeight="1" x14ac:dyDescent="0.2">
      <c r="B70" s="516"/>
      <c r="C70" s="516"/>
      <c r="D70" s="516"/>
      <c r="E70" s="516"/>
      <c r="F70" s="516"/>
      <c r="G70" s="516"/>
      <c r="H70" s="516"/>
      <c r="J70" t="s">
        <v>147</v>
      </c>
      <c r="K70" s="13">
        <f>C9*L70%</f>
        <v>0</v>
      </c>
      <c r="L70" s="100">
        <v>0</v>
      </c>
      <c r="M70" s="100"/>
      <c r="N70" s="263">
        <f>L70*O75</f>
        <v>0</v>
      </c>
      <c r="O70" s="214"/>
    </row>
    <row r="71" spans="2:15" ht="13.5" customHeight="1" thickBot="1" x14ac:dyDescent="0.25">
      <c r="B71" s="526" t="s">
        <v>284</v>
      </c>
      <c r="C71" s="516"/>
      <c r="D71" s="516"/>
      <c r="E71" s="516"/>
      <c r="F71" s="516"/>
      <c r="G71" s="516"/>
      <c r="H71" s="516"/>
      <c r="J71" s="100" t="s">
        <v>205</v>
      </c>
      <c r="K71" s="13">
        <f>L71%*C9</f>
        <v>0</v>
      </c>
      <c r="L71" s="100">
        <v>0</v>
      </c>
      <c r="M71" s="100"/>
      <c r="N71" s="263">
        <f>L71*O75</f>
        <v>0</v>
      </c>
      <c r="O71" s="214"/>
    </row>
    <row r="72" spans="2:15" ht="24.95" customHeight="1" thickBot="1" x14ac:dyDescent="0.25">
      <c r="B72" s="516"/>
      <c r="C72" s="516"/>
      <c r="D72" s="516"/>
      <c r="E72" s="516"/>
      <c r="F72" s="516"/>
      <c r="G72" s="516"/>
      <c r="H72" s="516"/>
      <c r="J72" s="10" t="s">
        <v>3</v>
      </c>
      <c r="K72" s="11">
        <f>SUM(K65:K71)</f>
        <v>362550.04999999993</v>
      </c>
      <c r="L72" s="15">
        <f>SUM(L65:L71)</f>
        <v>15.297470464135021</v>
      </c>
      <c r="M72" s="389"/>
      <c r="N72" s="273"/>
      <c r="O72" s="214"/>
    </row>
    <row r="73" spans="2:15" ht="13.5" thickBot="1" x14ac:dyDescent="0.25">
      <c r="B73" s="516"/>
      <c r="C73" s="516"/>
      <c r="D73" s="516"/>
      <c r="E73" s="516"/>
      <c r="F73" s="516"/>
      <c r="G73" s="516"/>
      <c r="H73" s="516"/>
      <c r="N73" s="332"/>
      <c r="O73" s="332"/>
    </row>
    <row r="74" spans="2:15" ht="13.5" customHeight="1" x14ac:dyDescent="0.2">
      <c r="B74" s="337"/>
      <c r="C74" s="236"/>
      <c r="D74" s="236"/>
      <c r="E74" s="236"/>
      <c r="F74" s="236"/>
      <c r="G74" s="236"/>
      <c r="H74" s="236"/>
      <c r="J74" s="16" t="s">
        <v>14</v>
      </c>
      <c r="K74" s="17"/>
      <c r="L74" s="338">
        <f>ROUND(L72/0.5,0)/100*0.5</f>
        <v>0.155</v>
      </c>
      <c r="M74" s="431" t="s">
        <v>292</v>
      </c>
      <c r="N74" s="503" t="s">
        <v>150</v>
      </c>
      <c r="O74" s="503"/>
    </row>
    <row r="75" spans="2:15" ht="12.75" customHeight="1" thickBot="1" x14ac:dyDescent="0.25">
      <c r="B75" s="516" t="s">
        <v>283</v>
      </c>
      <c r="C75" s="516"/>
      <c r="D75" s="516"/>
      <c r="E75" s="516"/>
      <c r="F75" s="516"/>
      <c r="G75" s="516"/>
      <c r="H75" s="516"/>
      <c r="J75" s="18" t="s">
        <v>15</v>
      </c>
      <c r="K75" s="19"/>
      <c r="L75" s="339">
        <f>C9*L74</f>
        <v>367350</v>
      </c>
      <c r="M75" s="381"/>
      <c r="O75">
        <f>L74/L72</f>
        <v>1.0132394134271944E-2</v>
      </c>
    </row>
    <row r="76" spans="2:15" x14ac:dyDescent="0.2">
      <c r="B76" s="516"/>
      <c r="C76" s="516"/>
      <c r="D76" s="516"/>
      <c r="E76" s="516"/>
      <c r="F76" s="516"/>
      <c r="G76" s="516"/>
      <c r="H76" s="516"/>
    </row>
    <row r="77" spans="2:15" x14ac:dyDescent="0.2">
      <c r="B77" s="214"/>
      <c r="C77" s="214"/>
      <c r="D77" s="214"/>
      <c r="E77" s="214"/>
      <c r="F77" s="214"/>
      <c r="G77" s="214"/>
      <c r="H77" s="214"/>
    </row>
    <row r="78" spans="2:15" ht="12.75" customHeight="1" x14ac:dyDescent="0.2">
      <c r="B78" s="526" t="s">
        <v>206</v>
      </c>
      <c r="C78" s="526"/>
      <c r="D78" s="526"/>
      <c r="E78" s="526"/>
      <c r="F78" s="526"/>
      <c r="G78" s="526"/>
      <c r="H78" s="526"/>
    </row>
    <row r="79" spans="2:15" x14ac:dyDescent="0.2">
      <c r="B79" s="526"/>
      <c r="C79" s="526"/>
      <c r="D79" s="526"/>
      <c r="E79" s="526"/>
      <c r="F79" s="526"/>
      <c r="G79" s="526"/>
      <c r="H79" s="526"/>
    </row>
    <row r="80" spans="2:15" ht="13.5" customHeight="1" x14ac:dyDescent="0.2">
      <c r="B80" s="526"/>
      <c r="C80" s="526"/>
      <c r="D80" s="526"/>
      <c r="E80" s="526"/>
      <c r="F80" s="526"/>
      <c r="G80" s="526"/>
      <c r="H80" s="526"/>
    </row>
    <row r="81" spans="2:15" ht="12.75" customHeight="1" x14ac:dyDescent="0.2">
      <c r="B81" s="526"/>
      <c r="C81" s="526"/>
      <c r="D81" s="526"/>
      <c r="E81" s="526"/>
      <c r="F81" s="526"/>
      <c r="G81" s="526"/>
      <c r="H81" s="526"/>
    </row>
    <row r="82" spans="2:15" ht="13.5" customHeight="1" x14ac:dyDescent="0.2">
      <c r="N82" s="214"/>
      <c r="O82" s="214"/>
    </row>
    <row r="83" spans="2:15" ht="13.5" customHeight="1" x14ac:dyDescent="0.2">
      <c r="B83" s="430" t="s">
        <v>291</v>
      </c>
      <c r="N83" s="214"/>
      <c r="O83" s="214"/>
    </row>
    <row r="85" spans="2:15" s="221" customFormat="1" ht="30" customHeight="1" x14ac:dyDescent="0.2">
      <c r="B85" s="536" t="s">
        <v>155</v>
      </c>
      <c r="C85" s="537"/>
      <c r="D85" s="537"/>
      <c r="E85" s="537"/>
      <c r="F85" s="537"/>
      <c r="G85" s="537"/>
      <c r="H85" s="537"/>
      <c r="I85" s="537"/>
      <c r="J85" s="537"/>
      <c r="K85" s="537"/>
      <c r="L85" s="538"/>
      <c r="M85"/>
    </row>
    <row r="86" spans="2:15" s="221" customFormat="1" ht="39.950000000000003" customHeight="1" x14ac:dyDescent="0.2">
      <c r="B86" s="527" t="s">
        <v>156</v>
      </c>
      <c r="C86" s="528"/>
      <c r="D86" s="528"/>
      <c r="E86" s="528"/>
      <c r="F86" s="528"/>
      <c r="G86" s="528"/>
      <c r="H86" s="528"/>
      <c r="I86" s="528"/>
      <c r="J86" s="528"/>
      <c r="K86" s="528"/>
      <c r="L86" s="529"/>
      <c r="M86"/>
    </row>
    <row r="87" spans="2:15" s="221" customFormat="1" x14ac:dyDescent="0.2">
      <c r="B87" s="222"/>
      <c r="C87" s="100"/>
      <c r="D87" s="223"/>
      <c r="E87" s="100"/>
      <c r="F87" s="100"/>
      <c r="G87" s="100"/>
      <c r="H87" s="100"/>
      <c r="I87" s="100"/>
      <c r="J87" s="100"/>
      <c r="K87" s="100"/>
      <c r="L87" s="100"/>
      <c r="M87"/>
    </row>
  </sheetData>
  <sheetProtection selectLockedCells="1" selectUnlockedCells="1"/>
  <mergeCells count="30">
    <mergeCell ref="O20:O21"/>
    <mergeCell ref="N74:O74"/>
    <mergeCell ref="N6:O6"/>
    <mergeCell ref="B7:C7"/>
    <mergeCell ref="B8:C8"/>
    <mergeCell ref="B18:E18"/>
    <mergeCell ref="G18:J18"/>
    <mergeCell ref="K18:L18"/>
    <mergeCell ref="B20:B21"/>
    <mergeCell ref="G20:G21"/>
    <mergeCell ref="D20:D21"/>
    <mergeCell ref="E20:E21"/>
    <mergeCell ref="I20:I21"/>
    <mergeCell ref="J20:J21"/>
    <mergeCell ref="K20:K21"/>
    <mergeCell ref="L20:L21"/>
    <mergeCell ref="N20:N21"/>
    <mergeCell ref="B3:L3"/>
    <mergeCell ref="B4:L4"/>
    <mergeCell ref="B85:L85"/>
    <mergeCell ref="B86:L86"/>
    <mergeCell ref="B70:H70"/>
    <mergeCell ref="B6:J6"/>
    <mergeCell ref="K6:L7"/>
    <mergeCell ref="B65:H66"/>
    <mergeCell ref="B63:H63"/>
    <mergeCell ref="B68:H69"/>
    <mergeCell ref="B71:H73"/>
    <mergeCell ref="B75:H76"/>
    <mergeCell ref="B78:H81"/>
  </mergeCells>
  <pageMargins left="0.23622047244094491" right="0.19685039370078741" top="0.74803149606299213" bottom="0.74803149606299213" header="0.31496062992125984" footer="0.31496062992125984"/>
  <pageSetup paperSize="9" firstPageNumber="0" orientation="landscape" cellComments="asDisplayed" horizontalDpi="300" verticalDpi="300"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11</vt:i4>
      </vt:variant>
      <vt:variant>
        <vt:lpstr>Plages nommées</vt:lpstr>
      </vt:variant>
      <vt:variant>
        <vt:i4>4</vt:i4>
      </vt:variant>
    </vt:vector>
  </HeadingPairs>
  <TitlesOfParts>
    <vt:vector size="15" baseType="lpstr">
      <vt:lpstr>MODE D'EMPLOI</vt:lpstr>
      <vt:lpstr>Budget global</vt:lpstr>
      <vt:lpstr>Indexation</vt:lpstr>
      <vt:lpstr>Indemité. soumiss.</vt:lpstr>
      <vt:lpstr>Oeuvre d'Art</vt:lpstr>
      <vt:lpstr>Honor-Cat 1</vt:lpstr>
      <vt:lpstr>Honor-Cat 2</vt:lpstr>
      <vt:lpstr>Honor-Cat 3</vt:lpstr>
      <vt:lpstr>Honor-Cat 4</vt:lpstr>
      <vt:lpstr>Honor-Cat 5</vt:lpstr>
      <vt:lpstr>SYNTHESE</vt:lpstr>
      <vt:lpstr>'Budget global'!Print_Area</vt:lpstr>
      <vt:lpstr>'Indemité. soumiss.'!Print_Area</vt:lpstr>
      <vt:lpstr>'MODE D''EMPLOI'!Print_Area</vt:lpstr>
      <vt:lpstr>'Oeuvre d''Art'!Print_Area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CFWB</dc:creator>
  <cp:lastModifiedBy>Sabine Guisse</cp:lastModifiedBy>
  <cp:lastPrinted>2021-07-14T06:09:25Z</cp:lastPrinted>
  <dcterms:created xsi:type="dcterms:W3CDTF">2013-07-03T14:55:48Z</dcterms:created>
  <dcterms:modified xsi:type="dcterms:W3CDTF">2025-09-19T13:40:40Z</dcterms:modified>
</cp:coreProperties>
</file>